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11370" windowHeight="534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2023'!$B$6:$W$345</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14" i="10" l="1"/>
  <c r="W125" i="10"/>
  <c r="Q126" i="10"/>
  <c r="Q137" i="10"/>
  <c r="Q131" i="10"/>
  <c r="Q41" i="10" l="1"/>
  <c r="Q188" i="10"/>
  <c r="Q186" i="10"/>
  <c r="Q13" i="10"/>
  <c r="Q138" i="10"/>
  <c r="Q133" i="10"/>
  <c r="Q129" i="10" l="1"/>
  <c r="Q308" i="10"/>
  <c r="Q231" i="10" l="1"/>
  <c r="Q236" i="10"/>
  <c r="Q239" i="10"/>
  <c r="Q223" i="10"/>
  <c r="W335" i="10" l="1"/>
  <c r="U323" i="10"/>
  <c r="Q323" i="10"/>
  <c r="W309" i="10" l="1"/>
  <c r="W310" i="10"/>
  <c r="X239" i="10"/>
  <c r="W238" i="10"/>
  <c r="W237" i="10"/>
  <c r="W216" i="10"/>
  <c r="W214" i="10"/>
  <c r="W182" i="10"/>
  <c r="U176" i="10"/>
  <c r="U151" i="10"/>
  <c r="V134" i="10" l="1"/>
  <c r="U114" i="10"/>
  <c r="V81" i="10" l="1"/>
  <c r="U49" i="10"/>
  <c r="U39" i="10"/>
  <c r="Q329" i="10" l="1"/>
  <c r="Q334" i="10"/>
  <c r="Q176" i="10" l="1"/>
  <c r="Q123" i="10"/>
  <c r="V123" i="10" l="1"/>
  <c r="Q227" i="10"/>
  <c r="Q226" i="10"/>
  <c r="Q252" i="10"/>
  <c r="Q228" i="10"/>
  <c r="Q206" i="10"/>
  <c r="Q214" i="10"/>
  <c r="Q39" i="10"/>
  <c r="Q42" i="10"/>
  <c r="Q89" i="10"/>
  <c r="Q64" i="10"/>
  <c r="Q284" i="10" l="1"/>
  <c r="Q289" i="10"/>
  <c r="Q183" i="10"/>
  <c r="Q24" i="10"/>
  <c r="Q18" i="10"/>
  <c r="Q101" i="10"/>
  <c r="Q156" i="10" l="1"/>
  <c r="V265" i="10" l="1"/>
  <c r="W171" i="10"/>
  <c r="V121" i="10"/>
  <c r="V122" i="10"/>
  <c r="W114" i="10"/>
  <c r="Q81" i="10"/>
  <c r="Q77" i="10"/>
  <c r="Q122" i="10" l="1"/>
  <c r="Q82" i="10" l="1"/>
  <c r="Q84" i="10"/>
  <c r="Q134" i="10" l="1"/>
  <c r="Q76" i="10"/>
  <c r="Q130" i="10"/>
  <c r="Q135" i="10"/>
  <c r="Q136" i="10"/>
  <c r="Q139" i="10"/>
  <c r="I16" i="13" l="1"/>
  <c r="Q320" i="10"/>
  <c r="Q303" i="10"/>
  <c r="S303" i="10" s="1"/>
  <c r="Q151" i="10" l="1"/>
  <c r="Q152" i="10"/>
  <c r="Q279" i="10" l="1"/>
  <c r="W279" i="10" l="1"/>
  <c r="Q215" i="10"/>
  <c r="W147" i="10" l="1"/>
  <c r="Q107" i="10" l="1"/>
  <c r="Q213" i="10" l="1"/>
  <c r="Q212" i="10" s="1"/>
  <c r="Q266" i="10" l="1"/>
  <c r="Q271" i="10" l="1"/>
  <c r="Q269" i="10"/>
  <c r="Q225" i="10"/>
  <c r="Q171" i="10" l="1"/>
  <c r="Q164" i="10" s="1"/>
  <c r="Q87" i="10"/>
  <c r="Q144" i="10"/>
  <c r="Q118" i="10" l="1"/>
  <c r="W318" i="10" l="1"/>
  <c r="W345" i="10" l="1"/>
  <c r="W344" i="10"/>
  <c r="W339" i="10"/>
  <c r="W338" i="10"/>
  <c r="W337" i="10"/>
  <c r="W336" i="10"/>
  <c r="W333" i="10"/>
  <c r="W332" i="10"/>
  <c r="W330" i="10"/>
  <c r="W328" i="10"/>
  <c r="W327" i="10"/>
  <c r="W326" i="10"/>
  <c r="W325" i="10"/>
  <c r="W324" i="10"/>
  <c r="W323" i="10"/>
  <c r="W322" i="10"/>
  <c r="W321" i="10"/>
  <c r="W317" i="10"/>
  <c r="W316" i="10"/>
  <c r="W315" i="10"/>
  <c r="W314" i="10"/>
  <c r="W313" i="10"/>
  <c r="W312" i="10"/>
  <c r="W308" i="10"/>
  <c r="W307" i="10"/>
  <c r="W306" i="10"/>
  <c r="W305" i="10"/>
  <c r="W304" i="10"/>
  <c r="W293" i="10"/>
  <c r="W291" i="10"/>
  <c r="W289" i="10"/>
  <c r="W284" i="10"/>
  <c r="W282" i="10"/>
  <c r="W278" i="10"/>
  <c r="W274" i="10"/>
  <c r="W273" i="10"/>
  <c r="W271" i="10"/>
  <c r="W269" i="10"/>
  <c r="W266" i="10"/>
  <c r="W262" i="10"/>
  <c r="W260" i="10"/>
  <c r="W259" i="10"/>
  <c r="W258" i="10"/>
  <c r="W257" i="10"/>
  <c r="W252" i="10"/>
  <c r="W248" i="10"/>
  <c r="W243" i="10"/>
  <c r="W234" i="10"/>
  <c r="W233" i="10"/>
  <c r="W231" i="10"/>
  <c r="W230" i="10"/>
  <c r="W229" i="10"/>
  <c r="W228" i="10"/>
  <c r="W226" i="10"/>
  <c r="W225" i="10"/>
  <c r="W224" i="10"/>
  <c r="W223" i="10"/>
  <c r="W222" i="10"/>
  <c r="W221" i="10"/>
  <c r="W211" i="10"/>
  <c r="W208" i="10"/>
  <c r="W206" i="10"/>
  <c r="W202" i="10"/>
  <c r="W201" i="10"/>
  <c r="W198" i="10"/>
  <c r="W195" i="10"/>
  <c r="W188" i="10"/>
  <c r="W186" i="10"/>
  <c r="W179" i="10"/>
  <c r="W176" i="10"/>
  <c r="W175" i="10"/>
  <c r="W170" i="10"/>
  <c r="W169" i="10"/>
  <c r="W168" i="10"/>
  <c r="W167" i="10"/>
  <c r="W166" i="10"/>
  <c r="W165" i="10"/>
  <c r="W163" i="10"/>
  <c r="W162" i="10"/>
  <c r="W160" i="10"/>
  <c r="W156" i="10"/>
  <c r="W152" i="10"/>
  <c r="W151" i="10"/>
  <c r="W149" i="10"/>
  <c r="W148" i="10"/>
  <c r="W144" i="10"/>
  <c r="W140" i="10"/>
  <c r="W139" i="10"/>
  <c r="W138" i="10"/>
  <c r="W137" i="10"/>
  <c r="W136" i="10"/>
  <c r="W135" i="10"/>
  <c r="W134" i="10"/>
  <c r="W133" i="10"/>
  <c r="W132" i="10"/>
  <c r="W131" i="10"/>
  <c r="W130" i="10"/>
  <c r="W128" i="10"/>
  <c r="W126" i="10"/>
  <c r="W124" i="10"/>
  <c r="W123" i="10"/>
  <c r="W122" i="10"/>
  <c r="W121" i="10"/>
  <c r="W120" i="10"/>
  <c r="W119" i="10"/>
  <c r="W115" i="10"/>
  <c r="W113" i="10"/>
  <c r="W109" i="10"/>
  <c r="W107" i="10"/>
  <c r="W101" i="10"/>
  <c r="W98" i="10"/>
  <c r="W97" i="10"/>
  <c r="W95" i="10"/>
  <c r="W94" i="10"/>
  <c r="W93" i="10"/>
  <c r="W89" i="10"/>
  <c r="W87" i="10"/>
  <c r="W84" i="10"/>
  <c r="W83" i="10"/>
  <c r="W82" i="10"/>
  <c r="W81" i="10"/>
  <c r="W80" i="10"/>
  <c r="W76" i="10"/>
  <c r="W73" i="10"/>
  <c r="W69" i="10"/>
  <c r="W66" i="10"/>
  <c r="W64" i="10"/>
  <c r="W62" i="10"/>
  <c r="W59" i="10"/>
  <c r="W57" i="10"/>
  <c r="W54" i="10"/>
  <c r="W52" i="10"/>
  <c r="W49" i="10"/>
  <c r="W47" i="10"/>
  <c r="W46" i="10"/>
  <c r="W41" i="10"/>
  <c r="W39" i="10"/>
  <c r="W38" i="10"/>
  <c r="W36" i="10"/>
  <c r="W34" i="10"/>
  <c r="W30" i="10"/>
  <c r="W24" i="10"/>
  <c r="W18" i="10"/>
  <c r="W15" i="10"/>
  <c r="W77" i="10" l="1"/>
  <c r="W329" i="10" l="1"/>
  <c r="W42" i="10" l="1"/>
  <c r="Q14" i="10"/>
  <c r="W14" i="10" s="1"/>
  <c r="W13" i="10" l="1"/>
  <c r="Q265" i="10" l="1"/>
  <c r="W265" i="10" s="1"/>
  <c r="Q141" i="10" l="1"/>
  <c r="W141" i="10" l="1"/>
  <c r="Q268" i="10"/>
  <c r="W268" i="10" s="1"/>
  <c r="Q272" i="10"/>
  <c r="W272" i="10" s="1"/>
  <c r="W236" i="10" l="1"/>
  <c r="Q270" i="10" l="1"/>
  <c r="W270" i="10" s="1"/>
  <c r="W227" i="10"/>
  <c r="Q331" i="10" l="1"/>
  <c r="W331" i="10" s="1"/>
  <c r="W334" i="10"/>
  <c r="Q79" i="10" l="1"/>
  <c r="W183" i="10"/>
  <c r="Q112" i="10"/>
  <c r="Q264" i="10" l="1"/>
  <c r="Q343" i="10"/>
  <c r="Q342" i="10" s="1"/>
  <c r="Q302" i="10" l="1"/>
  <c r="Q341" i="10"/>
  <c r="Q12" i="10"/>
  <c r="Q340" i="10" l="1"/>
  <c r="Q75" i="10"/>
  <c r="J14" i="13"/>
  <c r="J11" i="13"/>
  <c r="D6" i="13"/>
  <c r="D7" i="13"/>
  <c r="G7" i="13" s="1"/>
  <c r="D8" i="13"/>
  <c r="G8" i="13" s="1"/>
  <c r="D9" i="13"/>
  <c r="G9" i="13" s="1"/>
  <c r="D10" i="13"/>
  <c r="G10" i="13" s="1"/>
  <c r="D11" i="13"/>
  <c r="G11" i="13" s="1"/>
  <c r="D12" i="13"/>
  <c r="G12" i="13" s="1"/>
  <c r="D13" i="13"/>
  <c r="G13" i="13" s="1"/>
  <c r="D14" i="13"/>
  <c r="G14" i="13" s="1"/>
  <c r="D5" i="13"/>
  <c r="G5" i="13" s="1"/>
  <c r="L5" i="13" s="1"/>
  <c r="Q205" i="10"/>
  <c r="W205" i="10" s="1"/>
  <c r="L9" i="13" l="1"/>
  <c r="G6" i="13"/>
  <c r="L6" i="13" s="1"/>
  <c r="L13" i="13"/>
  <c r="L11" i="13"/>
  <c r="L12" i="13"/>
  <c r="L10" i="13"/>
  <c r="L8" i="13"/>
  <c r="L14" i="13"/>
  <c r="L7" i="13"/>
  <c r="Q261" i="10"/>
  <c r="W261" i="10" s="1"/>
  <c r="Q256" i="10" l="1"/>
  <c r="Q277" i="10"/>
  <c r="Q220" i="10"/>
  <c r="Q276" i="10" l="1"/>
  <c r="Q255" i="10"/>
  <c r="W239" i="10"/>
  <c r="Q127"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Q254" i="10" l="1"/>
  <c r="Q275" i="10"/>
  <c r="H5" i="13"/>
  <c r="K5" i="13" s="1"/>
  <c r="Q232" i="10"/>
  <c r="Q235" i="10"/>
  <c r="Q251" i="10" l="1"/>
  <c r="Q247" i="10"/>
  <c r="Q242" i="10"/>
  <c r="Q207" i="10"/>
  <c r="Q204" i="10"/>
  <c r="Q200" i="10"/>
  <c r="Q181" i="10"/>
  <c r="Q178" i="10"/>
  <c r="Q174" i="10"/>
  <c r="Q161" i="10"/>
  <c r="Q159" i="10"/>
  <c r="Q150" i="10"/>
  <c r="Q146" i="10"/>
  <c r="Q111" i="10"/>
  <c r="Q108" i="10"/>
  <c r="Q106" i="10"/>
  <c r="Q96" i="10"/>
  <c r="Q92" i="10"/>
  <c r="Q78" i="10"/>
  <c r="Q74" i="10"/>
  <c r="Q72" i="10"/>
  <c r="Q68" i="10"/>
  <c r="Q65" i="10"/>
  <c r="Q63" i="10"/>
  <c r="Q61" i="10"/>
  <c r="Q58" i="10"/>
  <c r="Q56" i="10"/>
  <c r="Q53" i="10"/>
  <c r="Q51" i="10"/>
  <c r="Q48" i="10"/>
  <c r="Q45" i="10"/>
  <c r="Q40" i="10"/>
  <c r="Q37" i="10"/>
  <c r="Q35" i="10"/>
  <c r="Q33" i="10"/>
  <c r="Q29" i="10"/>
  <c r="Q23" i="10"/>
  <c r="Q71" i="10" l="1"/>
  <c r="Q180" i="10"/>
  <c r="Q241" i="10"/>
  <c r="Q22" i="10"/>
  <c r="Q28" i="10"/>
  <c r="Q246" i="10"/>
  <c r="Q44" i="10"/>
  <c r="Q173" i="10"/>
  <c r="Q250" i="10"/>
  <c r="Q67" i="10"/>
  <c r="Q177" i="10"/>
  <c r="Q55" i="10"/>
  <c r="Q50" i="10"/>
  <c r="Q60" i="10"/>
  <c r="Q32" i="10"/>
  <c r="Q158" i="10"/>
  <c r="Q145" i="10"/>
  <c r="Q219" i="10"/>
  <c r="Q155" i="10"/>
  <c r="Q185" i="10"/>
  <c r="Q187" i="10"/>
  <c r="Q197" i="10"/>
  <c r="Q199" i="10"/>
  <c r="Q210" i="10"/>
  <c r="Q194" i="10"/>
  <c r="Q193" i="10" l="1"/>
  <c r="Q240" i="10"/>
  <c r="Q184" i="10"/>
  <c r="Q209" i="10"/>
  <c r="Q154" i="10"/>
  <c r="Q31" i="10"/>
  <c r="Q245" i="10"/>
  <c r="Q21" i="10"/>
  <c r="Q249" i="10"/>
  <c r="Q196" i="10"/>
  <c r="Q43" i="10"/>
  <c r="Q105" i="10"/>
  <c r="Q117" i="10"/>
  <c r="Q157" i="10"/>
  <c r="Q203" i="10"/>
  <c r="Q218" i="10"/>
  <c r="Q20" i="10" l="1"/>
  <c r="Q116" i="10"/>
  <c r="Q104" i="10"/>
  <c r="Q192" i="10"/>
  <c r="Q191" i="10" s="1"/>
  <c r="Q244" i="10"/>
  <c r="Q153" i="10"/>
  <c r="Q172" i="10"/>
  <c r="Q281" i="10"/>
  <c r="Q283" i="10"/>
  <c r="Q288" i="10"/>
  <c r="Q290" i="10"/>
  <c r="Q292" i="10"/>
  <c r="Q294" i="10"/>
  <c r="Q297" i="10"/>
  <c r="Q319" i="10"/>
  <c r="S319" i="10" s="1"/>
  <c r="Q110" i="10" l="1"/>
  <c r="Q301" i="10"/>
  <c r="Q287" i="10"/>
  <c r="Q103" i="10"/>
  <c r="Q19" i="10"/>
  <c r="Q280" i="10"/>
  <c r="Q102" i="10" l="1"/>
  <c r="Q286" i="10"/>
  <c r="Q300" i="10"/>
  <c r="F14" i="13"/>
  <c r="F13" i="13"/>
  <c r="I13" i="13" s="1"/>
  <c r="J13" i="13" s="1"/>
  <c r="F12" i="13"/>
  <c r="I12" i="13" s="1"/>
  <c r="J12" i="13" s="1"/>
  <c r="F11" i="13"/>
  <c r="Q299" i="10" l="1"/>
  <c r="Q285" i="10"/>
  <c r="F6" i="13"/>
  <c r="I6" i="13" s="1"/>
  <c r="J6" i="13" s="1"/>
  <c r="F7" i="13"/>
  <c r="I7" i="13" s="1"/>
  <c r="J7" i="13" s="1"/>
  <c r="F8" i="13"/>
  <c r="I8" i="13" s="1"/>
  <c r="J8" i="13" s="1"/>
  <c r="F9" i="13"/>
  <c r="I9" i="13" s="1"/>
  <c r="J9" i="13" s="1"/>
  <c r="F10" i="13"/>
  <c r="I10" i="13" s="1"/>
  <c r="J10" i="13" s="1"/>
  <c r="F5" i="13"/>
  <c r="I5" i="13" s="1"/>
  <c r="J5" i="13" s="1"/>
  <c r="Q27" i="10" l="1"/>
  <c r="Q100" i="10"/>
  <c r="Q88" i="10"/>
  <c r="Q86" i="10"/>
  <c r="Q17" i="10"/>
  <c r="Q11" i="10"/>
  <c r="Q99" i="10" l="1"/>
  <c r="Q16" i="10"/>
  <c r="Q10" i="10" s="1"/>
  <c r="Q9" i="10" s="1"/>
  <c r="Q8" i="10" s="1"/>
  <c r="Q85" i="10"/>
  <c r="U133" i="12"/>
  <c r="Q70" i="10" l="1"/>
  <c r="Q26" i="10" s="1"/>
  <c r="Q91" i="10"/>
  <c r="Q90" i="10" l="1"/>
  <c r="Q267" i="10"/>
  <c r="Q25" i="10" l="1"/>
  <c r="Q7" i="10" s="1"/>
  <c r="S7" i="10" s="1"/>
  <c r="Q263" i="10"/>
  <c r="Q253" i="10" l="1"/>
  <c r="Q217"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Q190"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Q189"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S189"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$150.000.000
</t>
        </r>
        <r>
          <rPr>
            <b/>
            <sz val="9"/>
            <color indexed="81"/>
            <rFont val="Tahoma"/>
            <family val="2"/>
          </rPr>
          <t>Se recibe traslado de:</t>
        </r>
        <r>
          <rPr>
            <sz val="9"/>
            <color indexed="81"/>
            <rFont val="Tahoma"/>
            <family val="2"/>
          </rPr>
          <t xml:space="preserve"> CONSULTORÍA PARA LA ACTUALIZACIÓN DE LOS ACTIVOS DE INFORMACIÓN Y EL PLAN DE CONTINUIDAD, CON SU RESPECTIVO ANÁLISIS DE RIESGOS DE LA INFORMACIÓN PARA TODOS LOS PROCESOS DE LA ENTIDAD  DEL INSTITUTO DE CASAS FISCALES DEL EJÉRCITO</t>
        </r>
      </text>
    </comment>
    <comment ref="Q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text>
    </comment>
    <comment ref="K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P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Q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M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N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Q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Q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t>
        </r>
      </text>
    </comment>
    <comment ref="M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Q41"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r>
          <rPr>
            <b/>
            <sz val="9"/>
            <color indexed="81"/>
            <rFont val="Tahoma"/>
            <family val="2"/>
          </rPr>
          <t xml:space="preserve">
Oficio: </t>
        </r>
        <r>
          <rPr>
            <sz val="9"/>
            <color indexed="81"/>
            <rFont val="Tahoma"/>
            <family val="2"/>
          </rPr>
          <t>80457</t>
        </r>
        <r>
          <rPr>
            <b/>
            <sz val="9"/>
            <color indexed="81"/>
            <rFont val="Tahoma"/>
            <family val="2"/>
          </rPr>
          <t xml:space="preserve">
Valor: </t>
        </r>
        <r>
          <rPr>
            <sz val="9"/>
            <color indexed="81"/>
            <rFont val="Tahoma"/>
            <family val="2"/>
          </rPr>
          <t>$12.000.000</t>
        </r>
        <r>
          <rPr>
            <b/>
            <sz val="9"/>
            <color indexed="81"/>
            <rFont val="Tahoma"/>
            <family val="2"/>
          </rPr>
          <t xml:space="preserve">
Se recibe traslado de: </t>
        </r>
        <r>
          <rPr>
            <sz val="9"/>
            <color indexed="81"/>
            <rFont val="Tahoma"/>
            <family val="2"/>
          </rPr>
          <t xml:space="preserve">
ACTUALIZACIONES CON SOPORTE PARA LA PLATAFORMA DE SISTEMA DE GESTION DOCUMENTAL</t>
        </r>
      </text>
    </comment>
    <comment ref="V41" authorId="1" shapeId="0">
      <text>
        <r>
          <rPr>
            <sz val="9"/>
            <color indexed="81"/>
            <rFont val="Tahoma"/>
            <family val="2"/>
          </rPr>
          <t xml:space="preserve">Liquidación TO
</t>
        </r>
      </text>
    </comment>
    <comment ref="Q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t>
        </r>
      </text>
    </comment>
    <comment ref="Q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SUMINISTRO DE ELEMENTOS DE SEGURIDAD INDUSTRIAL Y DOTACIÓN SST (1 de 4)</t>
        </r>
      </text>
    </comment>
    <comment ref="Q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Q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Q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Q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Q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Q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Q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Q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S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$15.114.220
</t>
        </r>
        <r>
          <rPr>
            <b/>
            <sz val="9"/>
            <color indexed="81"/>
            <rFont val="Tahoma"/>
            <family val="2"/>
          </rPr>
          <t>Se recibe traslado de</t>
        </r>
        <r>
          <rPr>
            <sz val="9"/>
            <color indexed="81"/>
            <rFont val="Tahoma"/>
            <family val="2"/>
          </rPr>
          <t>: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L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L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Q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Q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ECONÓMICO PARA LOS SERVIDORES PÚBLICOS DEL ICFE ESTIMULO EDUCATIVO (Apoyo para la Educación Formal Superior)</t>
        </r>
      </text>
    </comment>
    <comment ref="Q125" authorId="1" shapeId="0">
      <text>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$11.216.700
</t>
        </r>
        <r>
          <rPr>
            <b/>
            <sz val="9"/>
            <color indexed="81"/>
            <rFont val="Tahoma"/>
            <family val="2"/>
          </rPr>
          <t>Se recibe traslado de:</t>
        </r>
        <r>
          <rPr>
            <sz val="9"/>
            <color indexed="81"/>
            <rFont val="Tahoma"/>
            <family val="2"/>
          </rPr>
          <t xml:space="preserve">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L126"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Q126"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$6.827.700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P130"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Q130"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P131"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Q131" authorId="1" shapeId="0">
      <text>
        <r>
          <rPr>
            <b/>
            <sz val="9"/>
            <color indexed="81"/>
            <rFont val="Tahoma"/>
            <family val="2"/>
          </rPr>
          <t xml:space="preserve">Angela Maria Jimenez Monroy:
</t>
        </r>
        <r>
          <rPr>
            <sz val="9"/>
            <color indexed="81"/>
            <rFont val="Tahoma"/>
            <family val="2"/>
          </rPr>
          <t xml:space="preserve">SE EFECTUA REDUCCION CDP POR $8,329,562,50 OFICIO 69840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 xml:space="preserve">Se recibe traslado de: </t>
        </r>
        <r>
          <rPr>
            <sz val="9"/>
            <color indexed="81"/>
            <rFont val="Tahoma"/>
            <family val="2"/>
          </rPr>
          <t>ACTUALIZACIONES CON SOPORTE PARA LA PLATAFORMA DE SISTEMA DE GESTION DOCUMENTAL</t>
        </r>
      </text>
    </comment>
    <comment ref="P132"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Q13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$9.000.000</t>
        </r>
        <r>
          <rPr>
            <b/>
            <sz val="9"/>
            <color indexed="81"/>
            <rFont val="Tahoma"/>
            <family val="2"/>
          </rPr>
          <t xml:space="preserve">
Se traslada a: </t>
        </r>
        <r>
          <rPr>
            <sz val="9"/>
            <color indexed="81"/>
            <rFont val="Tahoma"/>
            <family val="2"/>
          </rPr>
          <t>PRESTACIÓN DE SERVICIOS TÉCNICOS PARA EL APOYO ADMINISTRATIVO AL ÁREA DE CARTERA</t>
        </r>
      </text>
    </comment>
    <comment ref="Q134"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ADQUISICION Y RENOVACION DE LICENCIAS DE APOYO ADMINISTRATIVO</t>
        </r>
      </text>
    </comment>
    <comment ref="Q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36"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Q137"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$12.000.000
</t>
        </r>
        <r>
          <rPr>
            <b/>
            <sz val="9"/>
            <color indexed="81"/>
            <rFont val="Tahoma"/>
            <family val="2"/>
          </rPr>
          <t>Se traslada a:</t>
        </r>
        <r>
          <rPr>
            <sz val="9"/>
            <color indexed="81"/>
            <rFont val="Tahoma"/>
            <family val="2"/>
          </rPr>
          <t xml:space="preserve"> SUMINISTRO DE DOTACIÓN PARA EL PERSONAL DE EMPLEADOS PÚBLICOS Y TRABAJADORES OFICIALES DEL ICFE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Se traslada a:</t>
        </r>
        <r>
          <rPr>
            <sz val="9"/>
            <color indexed="81"/>
            <rFont val="Tahoma"/>
            <family val="2"/>
          </rPr>
          <t xml:space="preserve"> SOPORTE Y MANTENIMIENTO ESPECIALIZADO SOBRE LA INFRAESTRUCTURA DE SERVIDORES INFORMATICOS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$19.503.220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Q138"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$2600.000.000</t>
        </r>
        <r>
          <rPr>
            <b/>
            <sz val="9"/>
            <color indexed="81"/>
            <rFont val="Tahoma"/>
            <family val="2"/>
          </rPr>
          <t xml:space="preserve">
Se traslada a: </t>
        </r>
        <r>
          <rPr>
            <sz val="9"/>
            <color indexed="81"/>
            <rFont val="Tahoma"/>
            <family val="2"/>
          </rPr>
          <t xml:space="preserve"> 
ADQUISICION DE MAQUINARIA PARA EL INSTITUTO DE CASAS FISCALES DEL EJÉRCITO </t>
        </r>
        <r>
          <rPr>
            <b/>
            <sz val="9"/>
            <color indexed="81"/>
            <rFont val="Tahoma"/>
            <family val="2"/>
          </rPr>
          <t xml:space="preserve">$150.000.000
</t>
        </r>
        <r>
          <rPr>
            <sz val="9"/>
            <color indexed="81"/>
            <rFont val="Tahoma"/>
            <family val="2"/>
          </rPr>
          <t xml:space="preserve">SOPORTE Y ACTUIALIZACIÓN DEL PORTAL WEB </t>
        </r>
        <r>
          <rPr>
            <b/>
            <sz val="9"/>
            <color indexed="81"/>
            <rFont val="Tahoma"/>
            <family val="2"/>
          </rPr>
          <t xml:space="preserve">$32.000.000
</t>
        </r>
        <r>
          <rPr>
            <sz val="9"/>
            <color indexed="81"/>
            <rFont val="Tahoma"/>
            <family val="2"/>
          </rPr>
          <t xml:space="preserve">ACTIVIDADES DE BIENESTAR, INCENTIVOS Y CLIMA ORGANIZACIONAL PARA LOS FUNCIONARIOS DEL ICFE </t>
        </r>
        <r>
          <rPr>
            <b/>
            <sz val="9"/>
            <color indexed="81"/>
            <rFont val="Tahoma"/>
            <family val="2"/>
          </rPr>
          <t xml:space="preserve">$40.000.000
</t>
        </r>
        <r>
          <rPr>
            <sz val="9"/>
            <color indexed="81"/>
            <rFont val="Tahoma"/>
            <family val="2"/>
          </rPr>
          <t xml:space="preserve">VIÁTICOS DE LOS FUNCIONARIOS EN  COMISIÓN </t>
        </r>
        <r>
          <rPr>
            <b/>
            <sz val="9"/>
            <color indexed="81"/>
            <rFont val="Tahoma"/>
            <family val="2"/>
          </rPr>
          <t xml:space="preserve">$18.000.000 </t>
        </r>
        <r>
          <rPr>
            <sz val="9"/>
            <color indexed="81"/>
            <rFont val="Tahoma"/>
            <family val="2"/>
          </rPr>
          <t xml:space="preserve">(Se pregunto y en el oficio se fue por error de digitación el valor de 20.000.000)
SUMINISTRO DE DOTACIÓN PARA EL PERSONAL DE EMPLEADOS PÚBLICOS Y  TRABAJADORES OFICIALES DEL ICFE </t>
        </r>
        <r>
          <rPr>
            <b/>
            <sz val="9"/>
            <color indexed="81"/>
            <rFont val="Tahoma"/>
            <family val="2"/>
          </rPr>
          <t>$20.000.000</t>
        </r>
      </text>
    </comment>
    <comment ref="K139"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P139"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Q139"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Q141"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Q142"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 xml:space="preserve">$32.000.000
</t>
        </r>
        <r>
          <rPr>
            <b/>
            <sz val="9"/>
            <color indexed="81"/>
            <rFont val="Tahoma"/>
            <family val="2"/>
          </rPr>
          <t xml:space="preserve">Se recibe traslado a: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K143"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Código unspc
Modalidad contratación
Duración estimada
Mes de publicación
Incluir fecha estimada entrega</t>
        </r>
      </text>
    </comment>
    <comment ref="M143"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N143"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O143"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text>
    </comment>
    <comment ref="Q143" authorId="1" shapeId="0">
      <text>
        <r>
          <rPr>
            <b/>
            <sz val="9"/>
            <color indexed="81"/>
            <rFont val="Tahoma"/>
            <family val="2"/>
          </rPr>
          <t>Oficio:</t>
        </r>
        <r>
          <rPr>
            <sz val="9"/>
            <color indexed="81"/>
            <rFont val="Tahoma"/>
            <family val="2"/>
          </rPr>
          <t xml:space="preserve"> 80457</t>
        </r>
        <r>
          <rPr>
            <b/>
            <sz val="9"/>
            <color indexed="81"/>
            <rFont val="Tahoma"/>
            <family val="2"/>
          </rPr>
          <t xml:space="preserve">
Valor: </t>
        </r>
        <r>
          <rPr>
            <sz val="9"/>
            <color indexed="81"/>
            <rFont val="Tahoma"/>
            <family val="2"/>
          </rPr>
          <t>$9.000.000</t>
        </r>
        <r>
          <rPr>
            <b/>
            <sz val="9"/>
            <color indexed="81"/>
            <rFont val="Tahoma"/>
            <family val="2"/>
          </rPr>
          <t xml:space="preserve">
Se recibe traslado a: </t>
        </r>
        <r>
          <rPr>
            <sz val="9"/>
            <color indexed="81"/>
            <rFont val="Tahoma"/>
            <family val="2"/>
          </rPr>
          <t xml:space="preserve">PRESTAR CON PLENA AUTONOMIA LOS SERVICIOS PROFESIONALES DE INGENIERÍA DESARROLLADOR PARA EL GRUPO TIC´S
</t>
        </r>
      </text>
    </comment>
    <comment ref="K144" authorId="1" shapeId="0">
      <text>
        <r>
          <rPr>
            <b/>
            <sz val="9"/>
            <color indexed="81"/>
            <rFont val="Tahoma"/>
            <family val="2"/>
          </rPr>
          <t>Oficio:</t>
        </r>
        <r>
          <rPr>
            <sz val="9"/>
            <color indexed="81"/>
            <rFont val="Tahoma"/>
            <family val="2"/>
          </rPr>
          <t xml:space="preserve"> 59312
Se cambia UNSPSC: 80101500</t>
        </r>
      </text>
    </comment>
    <comment ref="Q144"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Q147"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Q151"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Q152"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Q156"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K160" authorId="1" shapeId="0">
      <text>
        <r>
          <rPr>
            <b/>
            <sz val="9"/>
            <color indexed="81"/>
            <rFont val="Tahoma"/>
            <family val="2"/>
          </rPr>
          <t xml:space="preserve">Oficio: 77806
Se cambia UNSPSC: </t>
        </r>
        <r>
          <rPr>
            <sz val="9"/>
            <color indexed="81"/>
            <rFont val="Tahoma"/>
            <family val="2"/>
          </rPr>
          <t xml:space="preserve">81111800
</t>
        </r>
      </text>
    </comment>
    <comment ref="Q160"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S163"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S16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Q170"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Q171"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Q176"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P179"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Q183"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Q186"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$40.000.000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Q188"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$18.000.000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text>
    </comment>
    <comment ref="P206"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06"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P214"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Q214"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Q216"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Q22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Q223"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 xml:space="preserve">PRESTACION DE SERVICIOS DE ACTIVIDADES DE MANTENIMIENTO BÁSICO Y ACABADOS DE LAS VIVIENDAS FISCALES A NIVEL NACIONAL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$ 102.500.000
</t>
        </r>
        <r>
          <rPr>
            <b/>
            <sz val="9"/>
            <color indexed="81"/>
            <rFont val="Tahoma"/>
            <family val="2"/>
          </rPr>
          <t>Se traslada a:</t>
        </r>
        <r>
          <rPr>
            <sz val="9"/>
            <color indexed="81"/>
            <rFont val="Tahoma"/>
            <family val="2"/>
          </rPr>
          <t xml:space="preserve"> PRESTACION DE SERVICIOS DE ACTIVIDADES DE MANTENIMIENTO BÁSICO Y ACABADOS DE LAS VIVIENDAS FISCALES A NIVEL NACIONAL </t>
        </r>
        <r>
          <rPr>
            <b/>
            <sz val="9"/>
            <color indexed="81"/>
            <rFont val="Tahoma"/>
            <family val="2"/>
          </rPr>
          <t>$62.000.000</t>
        </r>
        <r>
          <rPr>
            <sz val="9"/>
            <color indexed="81"/>
            <rFont val="Tahoma"/>
            <family val="2"/>
          </rPr>
          <t xml:space="preserve">
PRESTACION DE SERVICIOS PARA LA APLICACIÓN DE PINTURA EN ESTRUCTURAS DE ACUERDO AL TIPO DE ACABADO SOLICITADO EN LAS VIVIENDAS FISCALES DEL ICFE DE ACUERDO A LAS NECESIDADES </t>
        </r>
        <r>
          <rPr>
            <b/>
            <sz val="9"/>
            <color indexed="81"/>
            <rFont val="Tahoma"/>
            <family val="2"/>
          </rPr>
          <t>$7.500.000</t>
        </r>
        <r>
          <rPr>
            <sz val="9"/>
            <color indexed="81"/>
            <rFont val="Tahoma"/>
            <family val="2"/>
          </rPr>
          <t xml:space="preserve">
SERVICIO DE MANTENIMIENTO PREVENTIVO Y CORRECTIVO DE LOS SISTEMAS: NEUMATICO, VENTILACION MECÁNICA y CONTRA INCENDIO DEL EDIFICIO DE TALLERES DEL ICFE </t>
        </r>
        <r>
          <rPr>
            <b/>
            <sz val="9"/>
            <color indexed="81"/>
            <rFont val="Tahoma"/>
            <family val="2"/>
          </rPr>
          <t>$33.000.000</t>
        </r>
      </text>
    </comment>
    <comment ref="Q225"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Q226"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S226"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7"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S22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28"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S22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S229"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L231"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$ 0</t>
        </r>
        <r>
          <rPr>
            <b/>
            <sz val="9"/>
            <color indexed="81"/>
            <rFont val="Tahoma"/>
            <family val="2"/>
          </rPr>
          <t xml:space="preserve">
Se cambia descripción de: </t>
        </r>
        <r>
          <rPr>
            <sz val="9"/>
            <color indexed="81"/>
            <rFont val="Tahoma"/>
            <family val="2"/>
          </rPr>
          <t xml:space="preserve">
SERVICIO DE MANTENIMIENTO PREVENTIVO Y CORRECTIVO DE LOS SISTEMAS: NEUMATICO, VENTILACION MECÁNICA y CONTRA INCENDIO DEL EDIFICIO DE TALLERES DEL ICFE</t>
        </r>
      </text>
    </comment>
    <comment ref="Q231"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$ 33.000.000</t>
        </r>
        <r>
          <rPr>
            <b/>
            <sz val="9"/>
            <color indexed="81"/>
            <rFont val="Tahoma"/>
            <family val="2"/>
          </rPr>
          <t xml:space="preserve">
Se recibe traslado de: </t>
        </r>
        <r>
          <rPr>
            <sz val="9"/>
            <color indexed="81"/>
            <rFont val="Tahoma"/>
            <family val="2"/>
          </rPr>
          <t xml:space="preserve">SUMINISTRO DE ELEMENTOS DE FERRETERÍA Y OTROS MATERIALES PARA EL MANTENIMIENTO DE LAS VIVIENDAS FISCALES Y SUS ÁREAS COMUNES EN CIUDAD DE BOGOTÁ </t>
        </r>
      </text>
    </comment>
    <comment ref="Q236"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$ 7.500.000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SERVICIO DE MANTENIMIENTO PREVENTIVO Y CORRECTIVO DE LOS SISTEMAS: NEUMATICO, VENTILACION MECÁNICA y CONTRA INCENDIO DEL EDIFICIO DE TALLERES DEL ICFE $33.000.000</t>
        </r>
      </text>
    </comment>
    <comment ref="Q237"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K239"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Q239"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$ 62.000.000
</t>
        </r>
        <r>
          <rPr>
            <b/>
            <sz val="9"/>
            <color indexed="81"/>
            <rFont val="Tahoma"/>
            <family val="2"/>
          </rPr>
          <t xml:space="preserve">Se recibe traslado de: </t>
        </r>
        <r>
          <rPr>
            <sz val="9"/>
            <color indexed="81"/>
            <rFont val="Tahoma"/>
            <family val="2"/>
          </rPr>
          <t xml:space="preserve">SUMINISTRODEELEMENTOSDEFERRETERÍAYOTROSMATERIALESPARAELMANTENIMIENTODELAS VIVIENDAS FISCALES Y SUS ÁREAS COMUNES EN CIUDAD DE BOGOTÁ 
</t>
        </r>
      </text>
    </comment>
    <comment ref="Q252"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Q265"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Q266"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S266"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Q268"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text>
    </comment>
    <comment ref="Q269"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69"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70"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Q271"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S271"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Q27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Q279"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Q284"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Q289"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Rubro A-02</t>
        </r>
      </text>
    </comment>
    <comment ref="Q306"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Q308"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
</t>
        </r>
        <r>
          <rPr>
            <b/>
            <sz val="9"/>
            <color indexed="81"/>
            <rFont val="Tahoma"/>
            <family val="2"/>
          </rPr>
          <t>Oficio:</t>
        </r>
        <r>
          <rPr>
            <sz val="9"/>
            <color indexed="81"/>
            <rFont val="Tahoma"/>
            <family val="2"/>
          </rPr>
          <t xml:space="preserve"> 79475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Radicación licencia proyecto Cúcuta</t>
        </r>
      </text>
    </comment>
    <comment ref="Q309"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Q310"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text>
    </comment>
    <comment ref="Q311" authorId="1" shapeId="0">
      <text>
        <r>
          <rPr>
            <b/>
            <sz val="9"/>
            <color indexed="81"/>
            <rFont val="Tahoma"/>
            <family val="2"/>
          </rPr>
          <t xml:space="preserve">Oficio: </t>
        </r>
        <r>
          <rPr>
            <sz val="9"/>
            <color indexed="81"/>
            <rFont val="Tahoma"/>
            <family val="2"/>
          </rPr>
          <t>79475</t>
        </r>
        <r>
          <rPr>
            <b/>
            <sz val="9"/>
            <color indexed="81"/>
            <rFont val="Tahoma"/>
            <family val="2"/>
          </rPr>
          <t xml:space="preserve">
Valor: $1.818.747,21
Se recibe traslado de: </t>
        </r>
        <r>
          <rPr>
            <sz val="9"/>
            <color indexed="81"/>
            <rFont val="Tahoma"/>
            <family val="2"/>
          </rPr>
          <t>Estudios preliminares y diseños proyectos de construcción ICFE</t>
        </r>
      </text>
    </comment>
    <comment ref="Q313"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Q318"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Q323"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Q329"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t>
        </r>
      </text>
    </comment>
    <comment ref="Q331"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K334"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Q334"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Q335"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Q339"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<sst xmlns="http://schemas.openxmlformats.org/spreadsheetml/2006/main" count="111611" uniqueCount="106234">
  <si>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</si>
  <si>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</si>
  <si>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</si>
  <si>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</si>
  <si>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</si>
  <si>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</si>
  <si>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</si>
  <si>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</si>
  <si>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</si>
  <si>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</si>
  <si>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</si>
  <si>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</si>
  <si>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</si>
  <si>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</si>
  <si>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</si>
  <si>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</si>
  <si>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</si>
  <si>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</si>
  <si>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</si>
  <si>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</si>
  <si>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</si>
  <si>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</si>
  <si>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</si>
  <si>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</si>
  <si>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</si>
  <si>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</si>
  <si>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</si>
  <si>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</si>
  <si>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</si>
  <si>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</si>
  <si>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</si>
  <si>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</si>
  <si>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</si>
  <si>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</si>
  <si>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</si>
  <si>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</si>
  <si>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</si>
  <si>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</si>
  <si>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</si>
  <si>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</si>
  <si>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</si>
  <si>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</si>
  <si>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</si>
  <si>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</si>
  <si>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</si>
  <si>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</si>
  <si>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</si>
  <si>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</si>
  <si>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</si>
  <si>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</si>
  <si>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</si>
  <si>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</si>
  <si>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</si>
  <si>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</si>
  <si>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</si>
  <si>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</si>
  <si>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</si>
  <si>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</si>
  <si>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</si>
  <si>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</si>
  <si>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</si>
  <si>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</si>
  <si>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</si>
  <si>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</si>
  <si>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</si>
  <si>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</si>
  <si>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</si>
  <si>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</si>
  <si>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</si>
  <si>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</si>
  <si>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</si>
  <si>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</si>
  <si>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</si>
  <si>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</si>
  <si>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</si>
  <si>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</si>
  <si>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</si>
  <si>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</si>
  <si>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</si>
  <si>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</si>
  <si>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</si>
  <si>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</si>
  <si>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</si>
  <si>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</si>
  <si>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</si>
  <si>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</si>
  <si>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</si>
  <si>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</si>
  <si>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</si>
  <si>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</si>
  <si>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</si>
  <si>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</si>
  <si>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</si>
  <si>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</si>
  <si>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</si>
  <si>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</si>
  <si>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</si>
  <si>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</si>
  <si>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</si>
  <si>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</si>
  <si>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</si>
  <si>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</si>
  <si>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</si>
  <si>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</si>
  <si>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</si>
  <si>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</si>
  <si>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</si>
  <si>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</si>
  <si>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</si>
  <si>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</si>
  <si>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</si>
  <si>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</si>
  <si>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</si>
  <si>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</si>
  <si>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</si>
  <si>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</si>
  <si>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</si>
  <si>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</si>
  <si>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</si>
  <si>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</si>
  <si>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</si>
  <si>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</si>
  <si>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</si>
  <si>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</si>
  <si>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</si>
  <si>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</si>
  <si>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</si>
  <si>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</si>
  <si>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</si>
  <si>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</si>
  <si>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</si>
  <si>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</si>
  <si>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</si>
  <si>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</si>
  <si>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</si>
  <si>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</si>
  <si>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</si>
  <si>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</si>
  <si>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</si>
  <si>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</si>
  <si>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</si>
  <si>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</si>
  <si>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</si>
  <si>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</si>
  <si>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</si>
  <si>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</si>
  <si>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</si>
  <si>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</si>
  <si>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</si>
  <si>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</si>
  <si>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</si>
  <si>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</si>
  <si>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</si>
  <si>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</si>
  <si>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</si>
  <si>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</si>
  <si>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</si>
  <si>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</si>
  <si>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</si>
  <si>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</si>
  <si>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</si>
  <si>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</si>
  <si>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</si>
  <si>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</si>
  <si>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</si>
  <si>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</si>
  <si>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</si>
  <si>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</si>
  <si>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</si>
  <si>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</si>
  <si>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</si>
  <si>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</si>
  <si>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</si>
  <si>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</si>
  <si>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</si>
  <si>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</si>
  <si>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</si>
  <si>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</si>
  <si>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</si>
  <si>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</si>
  <si>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</si>
  <si>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</si>
  <si>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</si>
  <si>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</si>
  <si>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</si>
  <si>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</si>
  <si>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</si>
  <si>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</si>
  <si>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</si>
  <si>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</si>
  <si>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</si>
  <si>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</si>
  <si>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</si>
  <si>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</si>
  <si>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</si>
  <si>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</si>
  <si>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</si>
  <si>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</si>
  <si>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</si>
  <si>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</si>
  <si>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</si>
  <si>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</si>
  <si>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</si>
  <si>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</si>
  <si>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</si>
  <si>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</si>
  <si>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</si>
  <si>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</si>
  <si>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</si>
  <si>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</si>
  <si>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</si>
  <si>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</si>
  <si>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</si>
  <si>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</si>
  <si>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</si>
  <si>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</si>
  <si>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</si>
  <si>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</si>
  <si>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</si>
  <si>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</si>
  <si>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</si>
  <si>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</si>
  <si>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</si>
  <si>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</si>
  <si>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</si>
  <si>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</si>
  <si>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</si>
  <si>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</si>
  <si>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</si>
  <si>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</si>
  <si>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</si>
  <si>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</si>
  <si>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</si>
  <si>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</si>
  <si>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</si>
  <si>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</si>
  <si>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</si>
  <si>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</si>
  <si>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</si>
  <si>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</si>
  <si>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</si>
  <si>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</si>
  <si>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</si>
  <si>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</si>
  <si>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</si>
  <si>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</si>
  <si>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</si>
  <si>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</si>
  <si>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</si>
  <si>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</si>
  <si>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</si>
  <si>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</si>
  <si>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</si>
  <si>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</si>
  <si>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</si>
  <si>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</si>
  <si>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</si>
  <si>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</si>
  <si>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</si>
  <si>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</si>
  <si>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</si>
  <si>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</si>
  <si>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</si>
  <si>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</si>
  <si>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</si>
  <si>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</si>
  <si>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</si>
  <si>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</si>
  <si>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</si>
  <si>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</si>
  <si>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</si>
  <si>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</si>
  <si>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</si>
  <si>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</si>
  <si>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</si>
  <si>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</si>
  <si>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</si>
  <si>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</si>
  <si>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</si>
  <si>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</si>
  <si>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</si>
  <si>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</si>
  <si>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</si>
  <si>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</si>
  <si>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</si>
  <si>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</si>
  <si>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</si>
  <si>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</si>
  <si>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</si>
  <si>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</si>
  <si>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</si>
  <si>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</si>
  <si>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</si>
  <si>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</si>
  <si>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</si>
  <si>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</si>
  <si>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</si>
  <si>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</si>
  <si>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</si>
  <si>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</si>
  <si>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</si>
  <si>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</si>
  <si>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</si>
  <si>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</si>
  <si>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</si>
  <si>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</si>
  <si>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</si>
  <si>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</si>
  <si>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</si>
  <si>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</si>
  <si>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</si>
  <si>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</si>
  <si>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</si>
  <si>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</si>
  <si>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</si>
  <si>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</si>
  <si>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</si>
  <si>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</si>
  <si>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</si>
  <si>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</si>
  <si>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</si>
  <si>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</si>
  <si>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</si>
  <si>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</si>
  <si>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</si>
  <si>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</si>
  <si>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</si>
  <si>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</si>
  <si>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</si>
  <si>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</si>
  <si>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</si>
  <si>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</si>
  <si>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</si>
  <si>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</si>
  <si>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</si>
  <si>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</si>
  <si>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</si>
  <si>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</si>
  <si>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</si>
  <si>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</si>
  <si>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</si>
  <si>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</si>
  <si>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</si>
  <si>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</si>
  <si>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</si>
  <si>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</si>
  <si>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</si>
  <si>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</si>
  <si>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</si>
  <si>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</si>
  <si>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</si>
  <si>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</si>
  <si>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</si>
  <si>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</si>
  <si>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</si>
  <si>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</si>
  <si>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</si>
  <si>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</si>
  <si>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</si>
  <si>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</si>
  <si>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</si>
  <si>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</si>
  <si>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</si>
  <si>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</si>
  <si>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</si>
  <si>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</si>
  <si>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</si>
  <si>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</si>
  <si>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</si>
  <si>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</si>
  <si>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</si>
  <si>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</si>
  <si>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</si>
  <si>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</si>
  <si>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</si>
  <si>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</si>
  <si>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</si>
  <si>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</si>
  <si>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</si>
  <si>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</si>
  <si>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</si>
  <si>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</si>
  <si>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</si>
  <si>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</si>
  <si>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</si>
  <si>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</si>
  <si>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</si>
  <si>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</si>
  <si>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</si>
  <si>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</si>
  <si>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</si>
  <si>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</si>
  <si>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</si>
  <si>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</si>
  <si>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</si>
  <si>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</si>
  <si>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</si>
  <si>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</si>
  <si>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</si>
  <si>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</si>
  <si>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</si>
  <si>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</si>
  <si>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</si>
  <si>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</si>
  <si>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</si>
  <si>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</si>
  <si>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</si>
  <si>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</si>
  <si>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</si>
  <si>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</si>
  <si>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</si>
  <si>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</si>
  <si>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</si>
  <si>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</si>
  <si>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</si>
  <si>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</si>
  <si>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</si>
  <si>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</si>
  <si>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</si>
  <si>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</si>
  <si>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</si>
  <si>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</si>
  <si>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</si>
  <si>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</si>
  <si>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</si>
  <si>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</si>
  <si>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</si>
  <si>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</si>
  <si>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</si>
  <si>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</si>
  <si>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</si>
  <si>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</si>
  <si>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</si>
  <si>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</si>
  <si>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</si>
  <si>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</si>
  <si>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</si>
  <si>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</si>
  <si>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</si>
  <si>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</si>
  <si>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</si>
  <si>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</si>
  <si>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</si>
  <si>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</si>
  <si>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</si>
  <si>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</si>
  <si>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</si>
  <si>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</si>
  <si>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</si>
  <si>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</si>
  <si>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</si>
  <si>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</si>
  <si>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</si>
  <si>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</si>
  <si>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</si>
  <si>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</si>
  <si>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</si>
  <si>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</si>
  <si>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</si>
  <si>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</si>
  <si>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</si>
  <si>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</si>
  <si>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</si>
  <si>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</si>
  <si>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</si>
  <si>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</si>
  <si>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</si>
  <si>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</si>
  <si>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</si>
  <si>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</si>
  <si>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</si>
  <si>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</si>
  <si>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</si>
  <si>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</si>
  <si>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</si>
  <si>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</si>
  <si>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</si>
  <si>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</si>
  <si>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</si>
  <si>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</si>
  <si>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</si>
  <si>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</si>
  <si>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</si>
  <si>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</si>
  <si>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</si>
  <si>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</si>
  <si>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</si>
  <si>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</si>
  <si>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</si>
  <si>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</si>
  <si>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</si>
  <si>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</si>
  <si>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</si>
  <si>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</si>
  <si>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</si>
  <si>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</si>
  <si>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</si>
  <si>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</si>
  <si>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</si>
  <si>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</si>
  <si>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</si>
  <si>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</si>
  <si>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</si>
  <si>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</si>
  <si>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</si>
  <si>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</si>
  <si>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</si>
  <si>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</si>
  <si>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</si>
  <si>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</si>
  <si>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</si>
  <si>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</si>
  <si>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</si>
  <si>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</si>
  <si>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</si>
  <si>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</si>
  <si>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</si>
  <si>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</si>
  <si>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</si>
  <si>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</si>
  <si>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</si>
  <si>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</si>
  <si>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</si>
  <si>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</si>
  <si>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</si>
  <si>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</si>
  <si>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</si>
  <si>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</si>
  <si>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</si>
  <si>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</si>
  <si>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</si>
  <si>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</si>
  <si>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</si>
  <si>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</si>
  <si>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</si>
  <si>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</si>
  <si>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</si>
  <si>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</si>
  <si>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</si>
  <si>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</si>
  <si>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</si>
  <si>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</si>
  <si>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</si>
  <si>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</si>
  <si>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</si>
  <si>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</si>
  <si>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</si>
  <si>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</si>
  <si>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</si>
  <si>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</si>
  <si>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</si>
  <si>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</si>
  <si>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</si>
  <si>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</si>
  <si>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</si>
  <si>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</si>
  <si>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</si>
  <si>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</si>
  <si>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</si>
  <si>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</si>
  <si>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</si>
  <si>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</si>
  <si>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</si>
  <si>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</si>
  <si>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</si>
  <si>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</si>
  <si>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</si>
  <si>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</si>
  <si>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</si>
  <si>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</si>
  <si>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</si>
  <si>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</si>
  <si>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</si>
  <si>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</si>
  <si>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</si>
  <si>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</si>
  <si>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</si>
  <si>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</si>
  <si>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</si>
  <si>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</si>
  <si>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</si>
  <si>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</si>
  <si>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</si>
  <si>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</si>
  <si>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</si>
  <si>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</si>
  <si>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</si>
  <si>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</si>
  <si>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</si>
  <si>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</si>
  <si>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</si>
  <si>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</si>
  <si>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</si>
  <si>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</si>
  <si>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</si>
  <si>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</si>
  <si>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</si>
  <si>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</si>
  <si>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</si>
  <si>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</si>
  <si>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</si>
  <si>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</si>
  <si>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</si>
  <si>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</si>
  <si>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</si>
  <si>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</si>
  <si>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</si>
  <si>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</si>
  <si>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</si>
  <si>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</si>
  <si>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</si>
  <si>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</si>
  <si>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</si>
  <si>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</si>
  <si>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</si>
  <si>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</si>
  <si>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</si>
  <si>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</si>
  <si>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</si>
  <si>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</si>
  <si>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</si>
  <si>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</si>
  <si>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</si>
  <si>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</si>
  <si>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</si>
  <si>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</si>
  <si>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</si>
  <si>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</si>
  <si>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</si>
  <si>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</si>
  <si>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</si>
  <si>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</si>
  <si>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</si>
  <si>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</si>
  <si>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</si>
  <si>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</si>
  <si>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</si>
  <si>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</si>
  <si>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</si>
  <si>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</si>
  <si>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</si>
  <si>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</si>
  <si>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</si>
  <si>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</si>
  <si>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</si>
  <si>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</si>
  <si>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</si>
  <si>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</si>
  <si>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</si>
  <si>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</si>
  <si>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</si>
  <si>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</si>
  <si>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</si>
  <si>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</si>
  <si>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</si>
  <si>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</si>
  <si>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</si>
  <si>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</si>
  <si>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</si>
  <si>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</si>
  <si>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</si>
  <si>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</si>
  <si>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</si>
  <si>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</si>
  <si>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</si>
  <si>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</si>
  <si>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</si>
  <si>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</si>
  <si>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</si>
  <si>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</si>
  <si>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</si>
  <si>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</si>
  <si>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</si>
  <si>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</si>
  <si>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</si>
  <si>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</si>
  <si>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</si>
  <si>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</si>
  <si>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</si>
  <si>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</si>
  <si>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</si>
  <si>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</si>
  <si>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</si>
  <si>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</si>
  <si>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</si>
  <si>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</si>
  <si>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</si>
  <si>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</si>
  <si>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</si>
  <si>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</si>
  <si>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</si>
  <si>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</si>
  <si>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</si>
  <si>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</si>
  <si>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</si>
  <si>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</si>
  <si>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</si>
  <si>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</si>
  <si>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</si>
  <si>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</si>
  <si>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</si>
  <si>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</si>
  <si>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</si>
  <si>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</si>
  <si>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</si>
  <si>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</si>
  <si>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</si>
  <si>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</si>
  <si>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</si>
  <si>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</si>
  <si>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</si>
  <si>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</si>
  <si>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</si>
  <si>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</si>
  <si>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</si>
  <si>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</si>
  <si>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</si>
  <si>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</si>
  <si>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</si>
  <si>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</si>
  <si>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</si>
  <si>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</si>
  <si>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</si>
  <si>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</si>
  <si>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</si>
  <si>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</si>
  <si>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</si>
  <si>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</si>
  <si>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</si>
  <si>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</si>
  <si>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</si>
  <si>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</si>
  <si>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</si>
  <si>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</si>
  <si>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</si>
  <si>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</si>
  <si>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</si>
  <si>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</si>
  <si>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</si>
  <si>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</si>
  <si>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</si>
  <si>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</si>
  <si>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</si>
  <si>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</si>
  <si>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</si>
  <si>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</si>
  <si>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</si>
  <si>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</si>
  <si>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</si>
  <si>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</si>
  <si>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</si>
  <si>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</si>
  <si>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</si>
  <si>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</si>
  <si>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</si>
  <si>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</si>
  <si>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</si>
  <si>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</si>
  <si>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</si>
  <si>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</si>
  <si>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</si>
  <si>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</si>
  <si>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</si>
  <si>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</si>
  <si>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</si>
  <si>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</si>
  <si>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</si>
  <si>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</si>
  <si>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</si>
  <si>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</si>
  <si>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</si>
  <si>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</si>
  <si>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</si>
  <si>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</si>
  <si>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</si>
  <si>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</si>
  <si>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</si>
  <si>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</si>
  <si>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</si>
  <si>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</si>
  <si>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</si>
  <si>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</si>
  <si>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</si>
  <si>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</si>
  <si>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</si>
  <si>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</si>
  <si>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</si>
  <si>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</si>
  <si>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</si>
  <si>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</si>
  <si>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</si>
  <si>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</si>
  <si>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</si>
  <si>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</si>
  <si>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</si>
  <si>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</si>
  <si>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</si>
  <si>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</si>
  <si>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</si>
  <si>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</si>
  <si>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</si>
  <si>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</si>
  <si>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</si>
  <si>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</si>
  <si>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</si>
  <si>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</si>
  <si>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</si>
  <si>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</si>
  <si>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</si>
  <si>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</si>
  <si>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</si>
  <si>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</si>
  <si>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</si>
  <si>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</si>
  <si>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</si>
  <si>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</si>
  <si>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</si>
  <si>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</si>
  <si>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</si>
  <si>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</si>
  <si>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</si>
  <si>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</si>
  <si>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</si>
  <si>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</si>
  <si>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</si>
  <si>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</si>
  <si>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</si>
  <si>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</si>
  <si>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</si>
  <si>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</si>
  <si>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</si>
  <si>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</si>
  <si>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</si>
  <si>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</si>
  <si>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</si>
  <si>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</si>
  <si>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</si>
  <si>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</si>
  <si>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</si>
  <si>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</si>
  <si>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</si>
  <si>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</si>
  <si>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</si>
  <si>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</si>
  <si>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</si>
  <si>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</si>
  <si>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</si>
  <si>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</si>
  <si>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</si>
  <si>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</si>
  <si>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</si>
  <si>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</si>
  <si>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</si>
  <si>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</si>
  <si>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</si>
  <si>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</si>
  <si>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</si>
  <si>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</si>
  <si>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</si>
  <si>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</si>
  <si>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</si>
  <si>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</si>
  <si>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</si>
  <si>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</si>
  <si>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</si>
  <si>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</si>
  <si>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</si>
  <si>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</si>
  <si>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</si>
  <si>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</si>
  <si>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</si>
  <si>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</si>
  <si>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</si>
  <si>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</si>
  <si>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</si>
  <si>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</si>
  <si>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</si>
  <si>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</si>
  <si>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</si>
  <si>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</si>
  <si>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</si>
  <si>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</si>
  <si>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</si>
  <si>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</si>
  <si>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</si>
  <si>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</si>
  <si>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</si>
  <si>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</si>
  <si>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</si>
  <si>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</si>
  <si>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</si>
  <si>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</si>
  <si>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</si>
  <si>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</si>
  <si>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</si>
  <si>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</si>
  <si>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</si>
  <si>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</si>
  <si>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</si>
  <si>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</si>
  <si>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</si>
  <si>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</si>
  <si>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</si>
  <si>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</si>
  <si>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</si>
  <si>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</si>
  <si>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</si>
  <si>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</si>
  <si>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</si>
  <si>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</si>
  <si>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</si>
  <si>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</si>
  <si>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</si>
  <si>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</si>
  <si>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</si>
  <si>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</si>
  <si>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</si>
  <si>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</si>
  <si>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</si>
  <si>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</si>
  <si>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</si>
  <si>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</si>
  <si>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</si>
  <si>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</si>
  <si>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</si>
  <si>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</si>
  <si>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</si>
  <si>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</si>
  <si>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</si>
  <si>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</si>
  <si>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</si>
  <si>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</si>
  <si>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</si>
  <si>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</si>
  <si>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</si>
  <si>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</si>
  <si>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</si>
  <si>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</si>
  <si>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</si>
  <si>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</si>
  <si>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</si>
  <si>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</si>
  <si>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</si>
  <si>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</si>
  <si>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</si>
  <si>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</si>
  <si>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</si>
  <si>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</si>
  <si>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</si>
  <si>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</si>
  <si>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</si>
  <si>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</si>
  <si>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</si>
  <si>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</si>
  <si>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</si>
  <si>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</si>
  <si>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</si>
  <si>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</si>
  <si>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</si>
  <si>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</si>
  <si>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</si>
  <si>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</si>
  <si>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</si>
  <si>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</si>
  <si>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</si>
  <si>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</si>
  <si>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</si>
  <si>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</si>
  <si>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</si>
  <si>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</si>
  <si>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</si>
  <si>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</si>
  <si>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</si>
  <si>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</si>
  <si>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</si>
  <si>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</si>
  <si>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</si>
  <si>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</si>
  <si>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</si>
  <si>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</si>
  <si>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</si>
  <si>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</si>
  <si>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</si>
  <si>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</si>
  <si>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</si>
  <si>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</si>
  <si>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</si>
  <si>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</si>
  <si>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</si>
  <si>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</si>
  <si>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</si>
  <si>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</si>
  <si>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</si>
  <si>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</si>
  <si>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</si>
  <si>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</si>
  <si>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</si>
  <si>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</si>
  <si>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</si>
  <si>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</si>
  <si>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</si>
  <si>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</si>
  <si>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</si>
  <si>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</si>
  <si>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</si>
  <si>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</si>
  <si>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</si>
  <si>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</si>
  <si>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</si>
  <si>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</si>
  <si>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</si>
  <si>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</si>
  <si>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</si>
  <si>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</si>
  <si>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</si>
  <si>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</si>
  <si>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</si>
  <si>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</si>
  <si>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</si>
  <si>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</si>
  <si>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</si>
  <si>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</si>
  <si>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</si>
  <si>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</si>
  <si>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</si>
  <si>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</si>
  <si>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</si>
  <si>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</si>
  <si>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</si>
  <si>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</si>
  <si>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</si>
  <si>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</si>
  <si>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</si>
  <si>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</si>
  <si>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</si>
  <si>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</si>
  <si>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</si>
  <si>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</si>
  <si>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</si>
  <si>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</si>
  <si>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</si>
  <si>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</si>
  <si>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</si>
  <si>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</si>
  <si>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</si>
  <si>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</si>
  <si>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</si>
  <si>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</si>
  <si>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</si>
  <si>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</si>
  <si>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</si>
  <si>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</si>
  <si>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</si>
  <si>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</si>
  <si>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</si>
  <si>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</si>
  <si>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</si>
  <si>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</si>
  <si>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</si>
  <si>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</si>
  <si>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</si>
  <si>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</si>
  <si>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</si>
  <si>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</si>
  <si>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</si>
  <si>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</si>
  <si>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</si>
  <si>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</si>
  <si>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</si>
  <si>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</si>
  <si>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</si>
  <si>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</si>
  <si>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</si>
  <si>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</si>
  <si>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</si>
  <si>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</si>
  <si>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</si>
  <si>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</si>
  <si>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</si>
  <si>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</si>
  <si>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</si>
  <si>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</si>
  <si>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</si>
  <si>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</si>
  <si>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</si>
  <si>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</si>
  <si>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</si>
  <si>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</si>
  <si>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</si>
  <si>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</si>
  <si>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</si>
  <si>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</si>
  <si>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</si>
  <si>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</si>
  <si>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</si>
  <si>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</si>
  <si>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</si>
  <si>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</si>
  <si>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</si>
  <si>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</si>
  <si>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</si>
  <si>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</si>
  <si>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</si>
  <si>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</si>
  <si>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</si>
  <si>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</si>
  <si>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</si>
  <si>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</si>
  <si>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</si>
  <si>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</si>
  <si>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</si>
  <si>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</si>
  <si>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</si>
  <si>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</si>
  <si>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</si>
  <si>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</si>
  <si>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</si>
  <si>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</si>
  <si>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</si>
  <si>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</si>
  <si>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</si>
  <si>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</si>
  <si>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</si>
  <si>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</si>
  <si>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</si>
  <si>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</si>
  <si>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</si>
  <si>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</si>
  <si>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</si>
  <si>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</si>
  <si>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</si>
  <si>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</si>
  <si>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</si>
  <si>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</si>
  <si>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</si>
  <si>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</si>
  <si>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</si>
  <si>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</si>
  <si>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</si>
  <si>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</si>
  <si>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</si>
  <si>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</si>
  <si>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</si>
  <si>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</si>
  <si>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</si>
  <si>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</si>
  <si>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</si>
  <si>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</si>
  <si>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</si>
  <si>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</si>
  <si>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</si>
  <si>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</si>
  <si>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</si>
  <si>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</si>
  <si>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</si>
  <si>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</si>
  <si>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</si>
  <si>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</si>
  <si>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</si>
  <si>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</si>
  <si>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</si>
  <si>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</si>
  <si>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</si>
  <si>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</si>
  <si>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</si>
  <si>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</si>
  <si>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</si>
  <si>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</si>
  <si>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</si>
  <si>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</si>
  <si>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</si>
  <si>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</si>
  <si>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</si>
  <si>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</si>
  <si>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</si>
  <si>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</si>
  <si>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</si>
  <si>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</si>
  <si>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</si>
  <si>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</si>
  <si>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</si>
  <si>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</si>
  <si>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</si>
  <si>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</si>
  <si>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</si>
  <si>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</si>
  <si>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</si>
  <si>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</si>
  <si>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</si>
  <si>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</si>
  <si>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</si>
  <si>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</si>
  <si>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</si>
  <si>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</si>
  <si>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</si>
  <si>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</si>
  <si>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</si>
  <si>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</si>
  <si>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</si>
  <si>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</si>
  <si>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</si>
  <si>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</si>
  <si>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</si>
  <si>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</si>
  <si>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</si>
  <si>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</si>
  <si>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</si>
  <si>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</si>
  <si>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</si>
  <si>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</si>
  <si>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</si>
  <si>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</si>
  <si>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</si>
  <si>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</si>
  <si>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</si>
  <si>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</si>
  <si>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</si>
  <si>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</si>
  <si>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</si>
  <si>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</si>
  <si>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</si>
  <si>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</si>
  <si>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</si>
  <si>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</si>
  <si>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</si>
  <si>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</si>
  <si>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</si>
  <si>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</si>
  <si>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</si>
  <si>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</si>
  <si>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</si>
  <si>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</si>
  <si>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</si>
  <si>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</si>
  <si>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</si>
  <si>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</si>
  <si>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</si>
  <si>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</si>
  <si>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</si>
  <si>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</si>
  <si>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</si>
  <si>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</si>
  <si>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</si>
  <si>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</si>
  <si>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</si>
  <si>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</si>
  <si>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</si>
  <si>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</si>
  <si>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</si>
  <si>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</si>
  <si>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</si>
  <si>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</si>
  <si>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</si>
  <si>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</si>
  <si>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</si>
  <si>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</si>
  <si>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</si>
  <si>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</si>
  <si>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</si>
  <si>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</si>
  <si>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</si>
  <si>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</si>
  <si>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</si>
  <si>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</si>
  <si>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</si>
  <si>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</si>
  <si>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</si>
  <si>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</si>
  <si>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</si>
  <si>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</si>
  <si>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</si>
  <si>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</si>
  <si>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</si>
  <si>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</si>
  <si>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</si>
  <si>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</si>
  <si>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</si>
  <si>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</si>
  <si>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</si>
  <si>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</si>
  <si>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</si>
  <si>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</si>
  <si>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</si>
  <si>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</si>
  <si>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</si>
  <si>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</si>
  <si>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</si>
  <si>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</si>
  <si>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</si>
  <si>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</si>
  <si>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</si>
  <si>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</si>
  <si>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</si>
  <si>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</si>
  <si>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</si>
  <si>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</si>
  <si>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</si>
  <si>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</si>
  <si>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</si>
  <si>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</si>
  <si>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</si>
  <si>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</si>
  <si>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</si>
  <si>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</si>
  <si>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</si>
  <si>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</si>
  <si>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</si>
  <si>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</si>
  <si>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</si>
  <si>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</si>
  <si>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</si>
  <si>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</si>
  <si>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</si>
  <si>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</si>
  <si>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</si>
  <si>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</si>
  <si>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</si>
  <si>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</si>
  <si>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</si>
  <si>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</si>
  <si>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</si>
  <si>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</si>
  <si>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</si>
  <si>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</si>
  <si>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</si>
  <si>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</si>
  <si>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</si>
  <si>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</si>
  <si>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</si>
  <si>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</si>
  <si>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</si>
  <si>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</si>
  <si>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</si>
  <si>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</si>
  <si>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</si>
  <si>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</si>
  <si>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</si>
  <si>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</si>
  <si>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</si>
  <si>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</si>
  <si>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</si>
  <si>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</si>
  <si>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</si>
  <si>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</si>
  <si>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</si>
  <si>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</si>
  <si>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</si>
  <si>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</si>
  <si>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</si>
  <si>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</si>
  <si>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</si>
  <si>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</si>
  <si>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</si>
  <si>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</si>
  <si>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</si>
  <si>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</si>
  <si>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</si>
  <si>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</si>
  <si>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</si>
  <si>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</si>
  <si>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</si>
  <si>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</si>
  <si>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</si>
  <si>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</si>
  <si>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</si>
  <si>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</si>
  <si>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</si>
  <si>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</si>
  <si>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</si>
  <si>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</si>
  <si>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</si>
  <si>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</si>
  <si>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</si>
  <si>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</si>
  <si>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</si>
  <si>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</si>
  <si>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</si>
  <si>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</si>
  <si>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</si>
  <si>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</si>
  <si>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</si>
  <si>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</si>
  <si>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</si>
  <si>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</si>
  <si>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</si>
  <si>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</si>
  <si>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</si>
  <si>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</si>
  <si>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</si>
  <si>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</si>
  <si>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</si>
  <si>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</si>
  <si>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</si>
  <si>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</si>
  <si>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</si>
  <si>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</si>
  <si>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</si>
  <si>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</si>
  <si>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</si>
  <si>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</si>
  <si>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</si>
  <si>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</si>
  <si>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</si>
  <si>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</si>
  <si>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</si>
  <si>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</si>
  <si>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</si>
  <si>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</si>
  <si>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</si>
  <si>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</si>
  <si>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</si>
  <si>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</si>
  <si>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</si>
  <si>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</si>
  <si>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</si>
  <si>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</si>
  <si>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</si>
  <si>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</si>
  <si>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</si>
  <si>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</si>
  <si>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</si>
  <si>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</si>
  <si>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</si>
  <si>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</si>
  <si>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</si>
  <si>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</si>
  <si>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</si>
  <si>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</si>
  <si>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</si>
  <si>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</si>
  <si>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</si>
  <si>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</si>
  <si>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</si>
  <si>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</si>
  <si>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</si>
  <si>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</si>
  <si>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</si>
  <si>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</si>
  <si>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</si>
  <si>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</si>
  <si>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</si>
  <si>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</si>
  <si>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</si>
  <si>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</si>
  <si>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</si>
  <si>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</si>
  <si>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</si>
  <si>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</si>
  <si>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</si>
  <si>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</si>
  <si>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</si>
  <si>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</si>
  <si>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</si>
  <si>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</si>
  <si>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</si>
  <si>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</si>
  <si>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</si>
  <si>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</si>
  <si>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</si>
  <si>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</si>
  <si>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</si>
  <si>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</si>
  <si>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</si>
  <si>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</si>
  <si>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</si>
  <si>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</si>
  <si>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</si>
  <si>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</si>
  <si>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</si>
  <si>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</si>
  <si>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</si>
  <si>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</si>
  <si>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</si>
  <si>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</si>
  <si>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</si>
  <si>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</si>
  <si>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</si>
  <si>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</si>
  <si>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</si>
  <si>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</si>
  <si>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</si>
  <si>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</si>
  <si>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</si>
  <si>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</si>
  <si>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</si>
  <si>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</si>
  <si>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</si>
  <si>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</si>
  <si>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</si>
  <si>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</si>
  <si>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</si>
  <si>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</si>
  <si>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</si>
  <si>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</si>
  <si>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</si>
  <si>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</si>
  <si>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</si>
  <si>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</si>
  <si>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</si>
  <si>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</si>
  <si>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</si>
  <si>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</si>
  <si>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</si>
  <si>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</si>
  <si>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</si>
  <si>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</si>
  <si>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</si>
  <si>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</si>
  <si>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</si>
  <si>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</si>
  <si>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</si>
  <si>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</si>
  <si>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</si>
  <si>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</si>
  <si>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</si>
  <si>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</si>
  <si>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</si>
  <si>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</si>
  <si>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</si>
  <si>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</si>
  <si>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</si>
  <si>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</si>
  <si>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</si>
  <si>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</si>
  <si>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</si>
  <si>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</si>
  <si>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</si>
  <si>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</si>
  <si>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</si>
  <si>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</si>
  <si>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</si>
  <si>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</si>
  <si>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</si>
  <si>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</si>
  <si>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</si>
  <si>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</si>
  <si>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</si>
  <si>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</si>
  <si>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</si>
  <si>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</si>
  <si>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</si>
  <si>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</si>
  <si>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</si>
  <si>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</si>
  <si>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</si>
  <si>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</si>
  <si>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</si>
  <si>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</si>
  <si>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</si>
  <si>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</si>
  <si>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</si>
  <si>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</si>
  <si>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</si>
  <si>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</si>
  <si>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</si>
  <si>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</si>
  <si>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</si>
  <si>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</si>
  <si>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</si>
  <si>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</si>
  <si>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</si>
  <si>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</si>
  <si>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</si>
  <si>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</si>
  <si>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</si>
  <si>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</si>
  <si>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</si>
  <si>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</si>
  <si>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</si>
  <si>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</si>
  <si>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</si>
  <si>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</si>
  <si>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</si>
  <si>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</si>
  <si>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</si>
  <si>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</si>
  <si>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</si>
  <si>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</si>
  <si>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</si>
  <si>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</si>
  <si>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</si>
  <si>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</si>
  <si>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</si>
  <si>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</si>
  <si>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</si>
  <si>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</si>
  <si>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</si>
  <si>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</si>
  <si>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</si>
  <si>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</si>
  <si>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</si>
  <si>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</si>
  <si>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</si>
  <si>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</si>
  <si>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</si>
  <si>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</si>
  <si>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</si>
  <si>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</si>
  <si>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</si>
  <si>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</si>
  <si>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</si>
  <si>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</si>
  <si>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</si>
  <si>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</si>
  <si>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</si>
  <si>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</si>
  <si>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</si>
  <si>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</si>
  <si>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</si>
  <si>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</si>
  <si>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</si>
  <si>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</si>
  <si>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</si>
  <si>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</si>
  <si>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</si>
  <si>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</si>
  <si>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</si>
  <si>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</si>
  <si>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</si>
  <si>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</si>
  <si>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</si>
  <si>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</si>
  <si>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</si>
  <si>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</si>
  <si>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</si>
  <si>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</si>
  <si>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</si>
  <si>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</si>
  <si>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</si>
  <si>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</si>
  <si>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</si>
  <si>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</si>
  <si>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</si>
  <si>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</si>
  <si>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</si>
  <si>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</si>
  <si>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</si>
  <si>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</si>
  <si>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</si>
  <si>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</si>
  <si>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</si>
  <si>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</si>
  <si>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</si>
  <si>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</si>
  <si>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</si>
  <si>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</si>
  <si>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</si>
  <si>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</si>
  <si>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</si>
  <si>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</si>
  <si>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</si>
  <si>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</si>
  <si>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</si>
  <si>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</si>
  <si>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</si>
  <si>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</si>
  <si>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</si>
  <si>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</si>
  <si>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</si>
  <si>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</si>
  <si>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</si>
  <si>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</si>
  <si>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</si>
  <si>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</si>
  <si>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</si>
  <si>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</si>
  <si>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</si>
  <si>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</si>
  <si>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</si>
  <si>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</si>
  <si>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</si>
  <si>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</si>
  <si>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</si>
  <si>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</si>
  <si>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</si>
  <si>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</si>
  <si>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</si>
  <si>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</si>
  <si>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</si>
  <si>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</si>
  <si>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</si>
  <si>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</si>
  <si>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</si>
  <si>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</si>
  <si>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</si>
  <si>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</si>
  <si>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</si>
  <si>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</si>
  <si>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</si>
  <si>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</si>
  <si>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</si>
  <si>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</si>
  <si>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</si>
  <si>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</si>
  <si>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</si>
  <si>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</si>
  <si>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</si>
  <si>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</si>
  <si>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</si>
  <si>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</si>
  <si>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</si>
  <si>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</si>
  <si>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</si>
  <si>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</si>
  <si>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</si>
  <si>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</si>
  <si>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</si>
  <si>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</si>
  <si>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</si>
  <si>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</si>
  <si>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</si>
  <si>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</si>
  <si>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</si>
  <si>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</si>
  <si>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</si>
  <si>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</si>
  <si>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</si>
  <si>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</si>
  <si>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</si>
  <si>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</si>
  <si>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</si>
  <si>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</si>
  <si>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</si>
  <si>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</si>
  <si>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</si>
  <si>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</si>
  <si>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</si>
  <si>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</si>
  <si>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</si>
  <si>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</si>
  <si>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</si>
  <si>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</si>
  <si>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</si>
  <si>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</si>
  <si>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</si>
  <si>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</si>
  <si>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</si>
  <si>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</si>
  <si>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</si>
  <si>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</si>
  <si>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</si>
  <si>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</si>
  <si>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</si>
  <si>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</si>
  <si>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</si>
  <si>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</si>
  <si>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</si>
  <si>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</si>
  <si>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</si>
  <si>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</si>
  <si>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</si>
  <si>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</si>
  <si>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</si>
  <si>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</si>
  <si>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</si>
  <si>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</si>
  <si>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</si>
  <si>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</si>
  <si>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</si>
  <si>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</si>
  <si>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</si>
  <si>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</si>
  <si>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</si>
  <si>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</si>
  <si>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</si>
  <si>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</si>
  <si>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</si>
  <si>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</si>
  <si>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</si>
  <si>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</si>
  <si>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</si>
  <si>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</si>
  <si>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</si>
  <si>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</si>
  <si>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</si>
  <si>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</si>
  <si>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</si>
  <si>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</si>
  <si>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</si>
  <si>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</si>
  <si>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</si>
  <si>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</si>
  <si>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</si>
  <si>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</si>
  <si>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</si>
  <si>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</si>
  <si>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</si>
  <si>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</si>
  <si>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</si>
  <si>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</si>
  <si>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</si>
  <si>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</si>
  <si>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</si>
  <si>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</si>
  <si>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</si>
  <si>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</si>
  <si>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</si>
  <si>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</si>
  <si>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</si>
  <si>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</si>
  <si>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</si>
  <si>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</si>
  <si>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</si>
  <si>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</si>
  <si>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</si>
  <si>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</si>
  <si>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</si>
  <si>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</si>
  <si>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</si>
  <si>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</si>
  <si>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</si>
  <si>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</si>
  <si>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</si>
  <si>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</si>
  <si>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</si>
  <si>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</si>
  <si>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</si>
  <si>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</si>
  <si>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</si>
  <si>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</si>
  <si>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</si>
  <si>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</si>
  <si>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</si>
  <si>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</si>
  <si>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</si>
  <si>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</si>
  <si>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</si>
  <si>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</si>
  <si>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</si>
  <si>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</si>
  <si>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</si>
  <si>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</si>
  <si>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</si>
  <si>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</si>
  <si>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</si>
  <si>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</si>
  <si>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</si>
  <si>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</si>
  <si>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</si>
  <si>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</si>
  <si>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</si>
  <si>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</si>
  <si>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</si>
  <si>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</si>
  <si>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</si>
  <si>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</si>
  <si>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</si>
  <si>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</si>
  <si>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</si>
  <si>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</si>
  <si>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</si>
  <si>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</si>
  <si>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</si>
  <si>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</si>
  <si>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</si>
  <si>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</si>
  <si>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</si>
  <si>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</si>
  <si>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</si>
  <si>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</si>
  <si>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</si>
  <si>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</si>
  <si>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</si>
  <si>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</si>
  <si>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</si>
  <si>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</si>
  <si>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</si>
  <si>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</si>
  <si>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</si>
  <si>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</si>
  <si>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</si>
  <si>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</si>
  <si>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</si>
  <si>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</si>
  <si>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</si>
  <si>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</si>
  <si>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</si>
  <si>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</si>
  <si>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</si>
  <si>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</si>
  <si>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</si>
  <si>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</si>
  <si>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</si>
  <si>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</si>
  <si>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</si>
  <si>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</si>
  <si>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</si>
  <si>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</si>
  <si>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</si>
  <si>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</si>
  <si>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</si>
  <si>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</si>
  <si>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</si>
  <si>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</si>
  <si>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</si>
  <si>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</si>
  <si>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</si>
  <si>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</si>
  <si>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</si>
  <si>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</si>
  <si>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</si>
  <si>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</si>
  <si>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</si>
  <si>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</si>
  <si>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</si>
  <si>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</si>
  <si>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</si>
  <si>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</si>
  <si>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</si>
  <si>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</si>
  <si>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</si>
  <si>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</si>
  <si>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</si>
  <si>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</si>
  <si>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</si>
  <si>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</si>
  <si>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</si>
  <si>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</si>
  <si>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</si>
  <si>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</si>
  <si>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</si>
  <si>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</si>
  <si>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</si>
  <si>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</si>
  <si>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</si>
  <si>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</si>
  <si>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</si>
  <si>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</si>
  <si>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</si>
  <si>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</si>
  <si>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</si>
  <si>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</si>
  <si>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</si>
  <si>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</si>
  <si>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</si>
  <si>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</si>
  <si>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</si>
  <si>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</si>
  <si>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</si>
  <si>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</si>
  <si>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</si>
  <si>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</si>
  <si>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</si>
  <si>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</si>
  <si>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</si>
  <si>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</si>
  <si>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</si>
  <si>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</si>
  <si>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</si>
  <si>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</si>
  <si>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</si>
  <si>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</si>
  <si>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</si>
  <si>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</si>
  <si>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</si>
  <si>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</si>
  <si>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</si>
  <si>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</si>
  <si>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</si>
  <si>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</si>
  <si>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</si>
  <si>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</si>
  <si>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</si>
  <si>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</si>
  <si>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</si>
  <si>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</si>
  <si>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</si>
  <si>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</si>
  <si>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</si>
  <si>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</si>
  <si>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</si>
  <si>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</si>
  <si>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</si>
  <si>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</si>
  <si>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</si>
  <si>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</si>
  <si>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</si>
  <si>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</si>
  <si>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</si>
  <si>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</si>
  <si>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</si>
  <si>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</si>
  <si>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</si>
  <si>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</si>
  <si>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</si>
  <si>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</si>
  <si>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</si>
  <si>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</si>
  <si>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</si>
  <si>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</si>
  <si>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</si>
  <si>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</si>
  <si>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</si>
  <si>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</si>
  <si>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</si>
  <si>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</si>
  <si>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</si>
  <si>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</si>
  <si>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</si>
  <si>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</si>
  <si>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</si>
  <si>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</si>
  <si>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</si>
  <si>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</si>
  <si>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</si>
  <si>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</si>
  <si>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</si>
  <si>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</si>
  <si>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</si>
  <si>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</si>
  <si>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</si>
  <si>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</si>
  <si>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</si>
  <si>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</si>
  <si>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</si>
  <si>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</si>
  <si>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</si>
  <si>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</si>
  <si>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</si>
  <si>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</si>
  <si>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</si>
  <si>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</si>
  <si>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</si>
  <si>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</si>
  <si>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</si>
  <si>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</si>
  <si>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</si>
  <si>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</si>
  <si>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</si>
  <si>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</si>
  <si>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</si>
  <si>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</si>
  <si>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</si>
  <si>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</si>
  <si>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</si>
  <si>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</si>
  <si>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</si>
  <si>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</si>
  <si>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</si>
  <si>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</si>
  <si>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</si>
  <si>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</si>
  <si>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</si>
  <si>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</si>
  <si>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</si>
  <si>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</si>
  <si>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</si>
  <si>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</si>
  <si>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</si>
  <si>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</si>
  <si>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</si>
  <si>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</si>
  <si>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</si>
  <si>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</si>
  <si>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</si>
  <si>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</si>
  <si>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</si>
  <si>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</si>
  <si>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</si>
  <si>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</si>
  <si>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</si>
  <si>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</si>
  <si>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</si>
  <si>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</si>
  <si>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</si>
  <si>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</si>
  <si>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</si>
  <si>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</si>
  <si>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</si>
  <si>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</si>
  <si>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</si>
  <si>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</si>
  <si>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</si>
  <si>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</si>
  <si>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</si>
  <si>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</si>
  <si>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</si>
  <si>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</si>
  <si>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</si>
  <si>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</si>
  <si>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</si>
  <si>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</si>
  <si>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</si>
  <si>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</si>
  <si>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</si>
  <si>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</si>
  <si>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</si>
  <si>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</si>
  <si>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</si>
  <si>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</si>
  <si>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</si>
  <si>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</si>
  <si>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</si>
  <si>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</si>
  <si>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</si>
  <si>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</si>
  <si>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</si>
  <si>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</si>
  <si>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</si>
  <si>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</si>
  <si>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</si>
  <si>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</si>
  <si>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</si>
  <si>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</si>
  <si>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</si>
  <si>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</si>
  <si>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</si>
  <si>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</si>
  <si>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</si>
  <si>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</si>
  <si>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</si>
  <si>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</si>
  <si>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</si>
  <si>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</si>
  <si>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</si>
  <si>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</si>
  <si>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</si>
  <si>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</si>
  <si>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</si>
  <si>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</si>
  <si>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</si>
  <si>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</si>
  <si>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</si>
  <si>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</si>
  <si>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</si>
  <si>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</si>
  <si>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</si>
  <si>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</si>
  <si>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</si>
  <si>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</si>
  <si>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</si>
  <si>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</si>
  <si>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</si>
  <si>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</si>
  <si>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</si>
  <si>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</si>
  <si>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</si>
  <si>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</si>
  <si>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</si>
  <si>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</si>
  <si>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</si>
  <si>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</si>
  <si>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</si>
  <si>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</si>
  <si>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</si>
  <si>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</si>
  <si>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</si>
  <si>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</si>
  <si>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</si>
  <si>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</si>
  <si>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</si>
  <si>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</si>
  <si>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</si>
  <si>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</si>
  <si>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</si>
  <si>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</si>
  <si>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</si>
  <si>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</si>
  <si>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</si>
  <si>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</si>
  <si>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</si>
  <si>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</si>
  <si>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</si>
  <si>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</si>
  <si>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</si>
  <si>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</si>
  <si>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</si>
  <si>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</si>
  <si>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</si>
  <si>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</si>
  <si>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</si>
  <si>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</si>
  <si>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</si>
  <si>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</si>
  <si>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</si>
  <si>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</si>
  <si>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</si>
  <si>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</si>
  <si>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</si>
  <si>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</si>
  <si>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</si>
  <si>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</si>
  <si>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</si>
  <si>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</si>
  <si>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</si>
  <si>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</si>
  <si>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</si>
  <si>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</si>
  <si>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</si>
  <si>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</si>
  <si>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</si>
  <si>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</si>
  <si>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</si>
  <si>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</si>
  <si>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</si>
  <si>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</si>
  <si>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</si>
  <si>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</si>
  <si>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</si>
  <si>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</si>
  <si>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</si>
  <si>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</si>
  <si>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</si>
  <si>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</si>
  <si>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</si>
  <si>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</si>
  <si>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</si>
  <si>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</si>
  <si>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</si>
  <si>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</si>
  <si>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</si>
  <si>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</si>
  <si>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</si>
  <si>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</si>
  <si>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</si>
  <si>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</si>
  <si>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</si>
  <si>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</si>
  <si>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</si>
  <si>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</si>
  <si>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</si>
  <si>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</si>
  <si>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</si>
  <si>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</si>
  <si>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</si>
  <si>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</si>
  <si>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</si>
  <si>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</si>
  <si>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</si>
  <si>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</si>
  <si>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</si>
  <si>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</si>
  <si>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</si>
  <si>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</si>
  <si>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</si>
  <si>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</si>
  <si>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</si>
  <si>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</si>
  <si>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</si>
  <si>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</si>
  <si>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</si>
  <si>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</si>
  <si>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</si>
  <si>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</si>
  <si>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</si>
  <si>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</si>
  <si>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</si>
  <si>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</si>
  <si>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</si>
  <si>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</si>
  <si>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</si>
  <si>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</si>
  <si>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</si>
  <si>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</si>
  <si>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</si>
  <si>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</si>
  <si>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</si>
  <si>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</si>
  <si>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</si>
  <si>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</si>
  <si>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</si>
  <si>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</si>
  <si>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</si>
  <si>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</si>
  <si>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</si>
  <si>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</si>
  <si>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</si>
  <si>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</si>
  <si>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</si>
  <si>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</si>
  <si>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</si>
  <si>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</si>
  <si>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</si>
  <si>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</si>
  <si>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</si>
  <si>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</si>
  <si>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</si>
  <si>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</si>
  <si>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</si>
  <si>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</si>
  <si>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</si>
  <si>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</si>
  <si>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</si>
  <si>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</si>
  <si>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</si>
  <si>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</si>
  <si>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</si>
  <si>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</si>
  <si>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</si>
  <si>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</si>
  <si>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</si>
  <si>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</si>
  <si>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</si>
  <si>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</si>
  <si>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</si>
  <si>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</si>
  <si>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</si>
  <si>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</si>
  <si>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</si>
  <si>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</si>
  <si>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</si>
  <si>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</si>
  <si>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</si>
  <si>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</si>
  <si>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</si>
  <si>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</si>
  <si>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</si>
  <si>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</si>
  <si>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</si>
  <si>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</si>
  <si>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</si>
  <si>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</si>
  <si>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</si>
  <si>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</si>
  <si>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</si>
  <si>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</si>
  <si>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</si>
  <si>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</si>
  <si>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</si>
  <si>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</si>
  <si>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</si>
  <si>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</si>
  <si>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</si>
  <si>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</si>
  <si>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</si>
  <si>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</si>
  <si>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</si>
  <si>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</si>
  <si>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</si>
  <si>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</si>
  <si>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</si>
  <si>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</si>
  <si>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</si>
  <si>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</si>
  <si>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</si>
  <si>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</si>
  <si>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</si>
  <si>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</si>
  <si>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</si>
  <si>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</si>
  <si>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</si>
  <si>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</si>
  <si>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</si>
  <si>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</si>
  <si>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</si>
  <si>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</si>
  <si>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</si>
  <si>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</si>
  <si>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</si>
  <si>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</si>
  <si>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</si>
  <si>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</si>
  <si>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</si>
  <si>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</si>
  <si>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</si>
  <si>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</si>
  <si>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</si>
  <si>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</si>
  <si>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</si>
  <si>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</si>
  <si>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</si>
  <si>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</si>
  <si>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</si>
  <si>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</si>
  <si>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</si>
  <si>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</si>
  <si>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</si>
  <si>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</si>
  <si>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</si>
  <si>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</si>
  <si>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</si>
  <si>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</si>
  <si>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</si>
  <si>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</si>
  <si>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</si>
  <si>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</si>
  <si>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</si>
  <si>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</si>
  <si>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</si>
  <si>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</si>
  <si>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</si>
  <si>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</si>
  <si>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</si>
  <si>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</si>
  <si>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</si>
  <si>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</si>
  <si>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</si>
  <si>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</si>
  <si>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</si>
  <si>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</si>
  <si>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</si>
  <si>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</si>
  <si>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</si>
  <si>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</si>
  <si>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</si>
  <si>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</si>
  <si>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</si>
  <si>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</si>
  <si>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</si>
  <si>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</si>
  <si>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</si>
  <si>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</si>
  <si>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</si>
  <si>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</si>
  <si>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</si>
  <si>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</si>
  <si>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</si>
  <si>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</si>
  <si>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</si>
  <si>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</si>
  <si>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</si>
  <si>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</si>
  <si>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</si>
  <si>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</si>
  <si>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</si>
  <si>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</si>
  <si>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</si>
  <si>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</si>
  <si>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</si>
  <si>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</si>
  <si>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</si>
  <si>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</si>
  <si>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</si>
  <si>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</si>
  <si>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</si>
  <si>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</si>
  <si>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</si>
  <si>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</si>
  <si>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</si>
  <si>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</si>
  <si>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</si>
  <si>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</si>
  <si>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</si>
  <si>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</si>
  <si>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</si>
  <si>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</si>
  <si>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</si>
  <si>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</si>
  <si>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</si>
  <si>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</si>
  <si>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</si>
  <si>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</si>
  <si>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</si>
  <si>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</si>
  <si>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</si>
  <si>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</si>
  <si>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</si>
  <si>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</si>
  <si>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</si>
  <si>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</si>
  <si>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</si>
  <si>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</si>
  <si>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</si>
  <si>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</si>
  <si>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</si>
  <si>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</si>
  <si>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</si>
  <si>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</si>
  <si>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</si>
  <si>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</si>
  <si>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</si>
  <si>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</si>
  <si>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</si>
  <si>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</si>
  <si>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</si>
  <si>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</si>
  <si>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</si>
  <si>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</si>
  <si>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</si>
  <si>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</si>
  <si>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</si>
  <si>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</si>
  <si>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</si>
  <si>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</si>
  <si>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</si>
  <si>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</si>
  <si>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</si>
  <si>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</si>
  <si>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</si>
  <si>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</si>
  <si>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</si>
  <si>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</si>
  <si>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</si>
  <si>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</si>
  <si>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</si>
  <si>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</si>
  <si>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</si>
  <si>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</si>
  <si>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</si>
  <si>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</si>
  <si>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</si>
  <si>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</si>
  <si>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</si>
  <si>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</si>
  <si>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</si>
  <si>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</si>
  <si>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</si>
  <si>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</si>
  <si>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</si>
  <si>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</si>
  <si>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</si>
  <si>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</si>
  <si>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</si>
  <si>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</si>
  <si>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</si>
  <si>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</si>
  <si>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</si>
  <si>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</si>
  <si>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</si>
  <si>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</si>
  <si>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</si>
  <si>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</si>
  <si>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</si>
  <si>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</si>
  <si>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</si>
  <si>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</si>
  <si>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</si>
  <si>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</si>
  <si>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</si>
  <si>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</si>
  <si>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</si>
  <si>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</si>
  <si>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</si>
  <si>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</si>
  <si>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</si>
  <si>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</si>
  <si>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</si>
  <si>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</si>
  <si>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</si>
  <si>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</si>
  <si>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</si>
  <si>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</si>
  <si>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</si>
  <si>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</si>
  <si>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</si>
  <si>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</si>
  <si>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</si>
  <si>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</si>
  <si>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</si>
  <si>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</si>
  <si>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</si>
  <si>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</si>
  <si>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</si>
  <si>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</si>
  <si>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</si>
  <si>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</si>
  <si>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</si>
  <si>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</si>
  <si>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</si>
  <si>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</si>
  <si>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</si>
  <si>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</si>
  <si>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</si>
  <si>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</si>
  <si>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</si>
  <si>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</si>
  <si>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</si>
  <si>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</si>
  <si>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</si>
  <si>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</si>
  <si>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</si>
  <si>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</si>
  <si>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</si>
  <si>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</si>
  <si>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</si>
  <si>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</si>
  <si>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</si>
  <si>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</si>
  <si>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</si>
  <si>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</si>
  <si>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</si>
  <si>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</si>
  <si>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</si>
  <si>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</si>
  <si>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</si>
  <si>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</si>
  <si>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</si>
  <si>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</si>
  <si>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</si>
  <si>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</si>
  <si>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</si>
  <si>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</si>
  <si>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</si>
  <si>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</si>
  <si>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</si>
  <si>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</si>
  <si>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</si>
  <si>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</si>
  <si>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</si>
  <si>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</si>
  <si>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</si>
  <si>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</si>
  <si>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</si>
  <si>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</si>
  <si>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</si>
  <si>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</si>
  <si>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</si>
  <si>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</si>
  <si>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</si>
  <si>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</si>
  <si>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</si>
  <si>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</si>
  <si>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</si>
  <si>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</si>
  <si>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</si>
  <si>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</si>
  <si>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</si>
  <si>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</si>
  <si>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</si>
  <si>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</si>
  <si>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</si>
  <si>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</si>
  <si>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</si>
  <si>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</si>
  <si>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</si>
  <si>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</si>
  <si>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</si>
  <si>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</si>
  <si>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</si>
  <si>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</si>
  <si>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</si>
  <si>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</si>
  <si>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</si>
  <si>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</si>
  <si>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</si>
  <si>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</si>
  <si>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</si>
  <si>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</si>
  <si>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</si>
  <si>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</si>
  <si>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</si>
  <si>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</si>
  <si>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</si>
  <si>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</si>
  <si>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</si>
  <si>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</si>
  <si>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</si>
  <si>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</si>
  <si>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</si>
  <si>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</si>
  <si>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</si>
  <si>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</si>
  <si>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</si>
  <si>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</si>
  <si>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</si>
  <si>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</si>
  <si>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</si>
  <si>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</si>
  <si>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</si>
  <si>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</si>
  <si>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</si>
  <si>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</si>
  <si>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</si>
  <si>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</si>
  <si>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</si>
  <si>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</si>
  <si>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</si>
  <si>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</si>
  <si>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</si>
  <si>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</si>
  <si>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</si>
  <si>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</si>
  <si>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</si>
  <si>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</si>
  <si>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</si>
  <si>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</si>
  <si>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</si>
  <si>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</si>
  <si>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</si>
  <si>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</si>
  <si>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</si>
  <si>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</si>
  <si>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</si>
  <si>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</si>
  <si>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</si>
  <si>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</si>
  <si>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</si>
  <si>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</si>
  <si>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</si>
  <si>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</si>
  <si>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</si>
  <si>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</si>
  <si>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</si>
  <si>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</si>
  <si>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</si>
  <si>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</si>
  <si>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</si>
  <si>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</si>
  <si>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</si>
  <si>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</si>
  <si>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</si>
  <si>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</si>
  <si>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</si>
  <si>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</si>
  <si>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</si>
  <si>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</si>
  <si>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</si>
  <si>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</si>
  <si>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</si>
  <si>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</si>
  <si>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</si>
  <si>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</si>
  <si>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</si>
  <si>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</si>
  <si>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</si>
  <si>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</si>
  <si>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</si>
  <si>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</si>
  <si>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</si>
  <si>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</si>
  <si>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</si>
  <si>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</si>
  <si>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</si>
  <si>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</si>
  <si>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</si>
  <si>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</si>
  <si>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</si>
  <si>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</si>
  <si>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</si>
  <si>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</si>
  <si>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</si>
  <si>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</si>
  <si>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</si>
  <si>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</si>
  <si>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</si>
  <si>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</si>
  <si>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</si>
  <si>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</si>
  <si>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</si>
  <si>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</si>
  <si>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</si>
  <si>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</si>
  <si>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</si>
  <si>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</si>
  <si>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</si>
  <si>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</si>
  <si>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</si>
  <si>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</si>
  <si>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</si>
  <si>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</si>
  <si>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</si>
  <si>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</si>
  <si>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</si>
  <si>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</si>
  <si>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</si>
  <si>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</si>
  <si>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</si>
  <si>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</si>
  <si>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</si>
  <si>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</si>
  <si>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</si>
  <si>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</si>
  <si>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</si>
  <si>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</si>
  <si>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</si>
  <si>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</si>
  <si>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</si>
  <si>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</si>
  <si>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</si>
  <si>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</si>
  <si>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</si>
  <si>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</si>
  <si>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</si>
  <si>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</si>
  <si>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</si>
  <si>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</si>
  <si>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</si>
  <si>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</si>
  <si>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</si>
  <si>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</si>
  <si>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</si>
  <si>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</si>
  <si>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</si>
  <si>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</si>
  <si>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</si>
  <si>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</si>
  <si>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</si>
  <si>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</si>
  <si>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</si>
  <si>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</si>
  <si>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</si>
  <si>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</si>
  <si>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</si>
  <si>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</si>
  <si>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</si>
  <si>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</si>
  <si>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</si>
  <si>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</si>
  <si>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</si>
  <si>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</si>
  <si>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</si>
  <si>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</si>
  <si>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</si>
  <si>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</si>
  <si>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</si>
  <si>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</si>
  <si>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</si>
  <si>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</si>
  <si>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</si>
  <si>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</si>
  <si>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</si>
  <si>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</si>
  <si>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</si>
  <si>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</si>
  <si>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</si>
  <si>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</si>
  <si>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</si>
  <si>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</si>
  <si>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</si>
  <si>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</si>
  <si>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</si>
  <si>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</si>
  <si>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</si>
  <si>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</si>
  <si>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</si>
  <si>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</si>
  <si>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</si>
  <si>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</si>
  <si>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</si>
  <si>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</si>
  <si>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</si>
  <si>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</si>
  <si>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</si>
  <si>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</si>
  <si>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</si>
  <si>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</si>
  <si>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</si>
  <si>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</si>
  <si>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</si>
  <si>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</si>
  <si>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</si>
  <si>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</si>
  <si>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</si>
  <si>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</si>
  <si>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</si>
  <si>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</si>
  <si>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</si>
  <si>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</si>
  <si>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</si>
  <si>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</si>
  <si>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</si>
  <si>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</si>
  <si>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</si>
  <si>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</si>
  <si>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</si>
  <si>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</si>
  <si>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</si>
  <si>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</si>
  <si>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</si>
  <si>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</si>
  <si>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</si>
  <si>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</si>
  <si>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</si>
  <si>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</si>
  <si>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</si>
  <si>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</si>
  <si>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</si>
  <si>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</si>
  <si>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</si>
  <si>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</si>
  <si>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</si>
  <si>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</si>
  <si>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</si>
  <si>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</si>
  <si>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</si>
  <si>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</si>
  <si>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</si>
  <si>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</si>
  <si>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</si>
  <si>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</si>
  <si>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</si>
  <si>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</si>
  <si>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</si>
  <si>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</si>
  <si>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</si>
  <si>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</si>
  <si>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</si>
  <si>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</si>
  <si>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</si>
  <si>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</si>
  <si>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</si>
  <si>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</si>
  <si>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</si>
  <si>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</si>
  <si>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</si>
  <si>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</si>
  <si>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</si>
  <si>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</si>
  <si>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</si>
  <si>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</si>
  <si>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</si>
  <si>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</si>
  <si>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</si>
  <si>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</si>
  <si>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</si>
  <si>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</si>
  <si>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</si>
  <si>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</si>
  <si>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</si>
  <si>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</si>
  <si>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</si>
  <si>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</si>
  <si>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</si>
  <si>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</si>
  <si>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</si>
  <si>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</si>
  <si>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</si>
  <si>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</si>
  <si>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</si>
  <si>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</si>
  <si>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</si>
  <si>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</si>
  <si>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</si>
  <si>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</si>
  <si>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</si>
  <si>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</si>
  <si>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</si>
  <si>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</si>
  <si>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</si>
  <si>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</si>
  <si>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</si>
  <si>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</si>
  <si>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</si>
  <si>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</si>
  <si>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</si>
  <si>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</si>
  <si>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</si>
  <si>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</si>
  <si>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</si>
  <si>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</si>
  <si>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</si>
  <si>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</si>
  <si>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</si>
  <si>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</si>
  <si>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</si>
  <si>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</si>
  <si>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</si>
  <si>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</si>
  <si>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</si>
  <si>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</si>
  <si>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</si>
  <si>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</si>
  <si>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</si>
  <si>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</si>
  <si>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</si>
  <si>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</si>
  <si>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</si>
  <si>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</si>
  <si>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</si>
  <si>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</si>
  <si>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</si>
  <si>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</si>
  <si>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</si>
  <si>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</si>
  <si>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</si>
  <si>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</si>
  <si>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</si>
  <si>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</si>
  <si>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</si>
  <si>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</si>
  <si>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</si>
  <si>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</si>
  <si>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</si>
  <si>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</si>
  <si>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</si>
  <si>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</si>
  <si>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</si>
  <si>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</si>
  <si>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</si>
  <si>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</si>
  <si>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</si>
  <si>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</si>
  <si>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</si>
  <si>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</si>
  <si>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</si>
  <si>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</si>
  <si>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</si>
  <si>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</si>
  <si>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</si>
  <si>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</si>
  <si>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</si>
  <si>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</si>
  <si>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</si>
  <si>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</si>
  <si>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</si>
  <si>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</si>
  <si>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</si>
  <si>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</si>
  <si>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</si>
  <si>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</si>
  <si>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</si>
  <si>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</si>
  <si>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</si>
  <si>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</si>
  <si>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</si>
  <si>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</si>
  <si>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</si>
  <si>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</si>
  <si>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</si>
  <si>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</si>
  <si>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</si>
  <si>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</si>
  <si>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</si>
  <si>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</si>
  <si>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</si>
  <si>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</si>
  <si>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</si>
  <si>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</si>
  <si>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</si>
  <si>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</si>
  <si>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</si>
  <si>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</si>
  <si>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</si>
  <si>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</si>
  <si>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</si>
  <si>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</si>
  <si>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</si>
  <si>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</si>
  <si>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</si>
  <si>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</si>
  <si>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</si>
  <si>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</si>
  <si>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</si>
  <si>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</si>
  <si>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</si>
  <si>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</si>
  <si>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</si>
  <si>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</si>
  <si>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</si>
  <si>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</si>
  <si>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</si>
  <si>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</si>
  <si>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</si>
  <si>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</si>
  <si>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</si>
  <si>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</si>
  <si>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</si>
  <si>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</si>
  <si>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</si>
  <si>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</si>
  <si>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</si>
  <si>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</si>
  <si>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</si>
  <si>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</si>
  <si>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</si>
  <si>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</si>
  <si>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</si>
  <si>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</si>
  <si>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</si>
  <si>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</si>
  <si>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</si>
  <si>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</si>
  <si>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</si>
  <si>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</si>
  <si>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</si>
  <si>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</si>
  <si>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</si>
  <si>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</si>
  <si>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</si>
  <si>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</si>
  <si>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</si>
  <si>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</si>
  <si>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</si>
  <si>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</si>
  <si>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</si>
  <si>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</si>
  <si>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</si>
  <si>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</si>
  <si>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</si>
  <si>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</si>
  <si>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</si>
  <si>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</si>
  <si>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</si>
  <si>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</si>
  <si>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</si>
  <si>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</si>
  <si>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</si>
  <si>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</si>
  <si>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</si>
  <si>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</si>
  <si>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</si>
  <si>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</si>
  <si>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</si>
  <si>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</si>
  <si>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</si>
  <si>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</si>
  <si>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</si>
  <si>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</si>
  <si>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</si>
  <si>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</si>
  <si>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</si>
  <si>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</si>
  <si>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</si>
  <si>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</si>
  <si>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</si>
  <si>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</si>
  <si>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</si>
  <si>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</si>
  <si>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</si>
  <si>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</si>
  <si>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</si>
  <si>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</si>
  <si>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</si>
  <si>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</si>
  <si>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</si>
  <si>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</si>
  <si>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</si>
  <si>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</si>
  <si>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</si>
  <si>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</si>
  <si>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</si>
  <si>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</si>
  <si>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</si>
  <si>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</si>
  <si>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</si>
  <si>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</si>
  <si>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</si>
  <si>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</si>
  <si>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</si>
  <si>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</si>
  <si>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</si>
  <si>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</si>
  <si>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</si>
  <si>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</si>
  <si>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</si>
  <si>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</si>
  <si>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</si>
  <si>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</si>
  <si>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</si>
  <si>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</si>
  <si>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</si>
  <si>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</si>
  <si>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</si>
  <si>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</si>
  <si>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</si>
  <si>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</si>
  <si>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</si>
  <si>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</si>
  <si>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</si>
  <si>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</si>
  <si>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</si>
  <si>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</si>
  <si>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</si>
  <si>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</si>
  <si>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</si>
  <si>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</si>
  <si>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</si>
  <si>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</si>
  <si>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</si>
  <si>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</si>
  <si>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</si>
  <si>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</si>
  <si>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</si>
  <si>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</si>
  <si>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</si>
  <si>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</si>
  <si>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</si>
  <si>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</si>
  <si>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</si>
  <si>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</si>
  <si>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</si>
  <si>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</si>
  <si>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</si>
  <si>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</si>
  <si>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</si>
  <si>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</si>
  <si>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</si>
  <si>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</si>
  <si>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</si>
  <si>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</si>
  <si>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</si>
  <si>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</si>
  <si>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</si>
  <si>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</si>
  <si>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</si>
  <si>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</si>
  <si>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</si>
  <si>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</si>
  <si>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</si>
  <si>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</si>
  <si>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</si>
  <si>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</si>
  <si>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</si>
  <si>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</si>
  <si>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</si>
  <si>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</si>
  <si>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</si>
  <si>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</si>
  <si>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</si>
  <si>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</si>
  <si>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</si>
  <si>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</si>
  <si>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</si>
  <si>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</si>
  <si>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</si>
  <si>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</si>
  <si>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</si>
  <si>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</si>
  <si>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</si>
  <si>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</si>
  <si>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</si>
  <si>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</si>
  <si>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</si>
  <si>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</si>
  <si>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</si>
  <si>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</si>
  <si>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</si>
  <si>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</si>
  <si>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</si>
  <si>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</si>
  <si>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</si>
  <si>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</si>
  <si>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</si>
  <si>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</si>
  <si>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</si>
  <si>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</si>
  <si>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</si>
  <si>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</si>
  <si>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</si>
  <si>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</si>
  <si>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</si>
  <si>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</si>
  <si>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</si>
  <si>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</si>
  <si>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</si>
  <si>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</si>
  <si>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</si>
  <si>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</si>
  <si>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</si>
  <si>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</si>
  <si>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</si>
  <si>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</si>
  <si>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</si>
  <si>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</si>
  <si>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</si>
  <si>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</si>
  <si>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</si>
  <si>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</si>
  <si>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</si>
  <si>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</si>
  <si>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</si>
  <si>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</si>
  <si>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</si>
  <si>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</si>
  <si>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</si>
  <si>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</si>
  <si>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</si>
  <si>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</si>
  <si>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</si>
  <si>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</si>
  <si>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</si>
  <si>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</si>
  <si>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</si>
  <si>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</si>
  <si>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</si>
  <si>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</si>
  <si>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</si>
  <si>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</si>
  <si>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</si>
  <si>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</si>
  <si>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</si>
  <si>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</si>
  <si>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</si>
  <si>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</si>
  <si>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</si>
  <si>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</si>
  <si>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</si>
  <si>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</si>
  <si>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</si>
  <si>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</si>
  <si>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</si>
  <si>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</si>
  <si>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</si>
  <si>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</si>
  <si>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</si>
  <si>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</si>
  <si>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</si>
  <si>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</si>
  <si>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</si>
  <si>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</si>
  <si>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</si>
  <si>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</si>
  <si>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</si>
  <si>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</si>
  <si>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</si>
  <si>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</si>
  <si>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</si>
  <si>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</si>
  <si>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</si>
  <si>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</si>
  <si>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</si>
  <si>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</si>
  <si>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</si>
  <si>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</si>
  <si>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</si>
  <si>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</si>
  <si>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</si>
  <si>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</si>
  <si>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</si>
  <si>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</si>
  <si>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</si>
  <si>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</si>
  <si>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</si>
  <si>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</si>
  <si>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</si>
  <si>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</si>
  <si>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</si>
  <si>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</si>
  <si>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</si>
  <si>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</si>
  <si>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</si>
  <si>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</si>
  <si>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</si>
  <si>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</si>
  <si>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</si>
  <si>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</si>
  <si>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</si>
  <si>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</si>
  <si>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</si>
  <si>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</si>
  <si>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</si>
  <si>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</si>
  <si>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</si>
  <si>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</si>
  <si>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</si>
  <si>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</si>
  <si>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</si>
  <si>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</si>
  <si>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</si>
  <si>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</si>
  <si>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</si>
  <si>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</si>
  <si>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</si>
  <si>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</si>
  <si>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</si>
  <si>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</si>
  <si>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</si>
  <si>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</si>
  <si>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</si>
  <si>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</si>
  <si>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</si>
  <si>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</si>
  <si>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</si>
  <si>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</si>
  <si>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</si>
  <si>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</si>
  <si>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</si>
  <si>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</si>
  <si>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</si>
  <si>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</si>
  <si>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</si>
  <si>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</si>
  <si>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</si>
  <si>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</si>
  <si>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</si>
  <si>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</si>
  <si>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</si>
  <si>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</si>
  <si>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</si>
  <si>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</si>
  <si>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</si>
  <si>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</si>
  <si>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</si>
  <si>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</si>
  <si>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</si>
  <si>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</si>
  <si>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</si>
  <si>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</si>
  <si>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</si>
  <si>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</si>
  <si>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</si>
  <si>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</si>
  <si>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</si>
  <si>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</si>
  <si>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</si>
  <si>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</si>
  <si>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</si>
  <si>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</si>
  <si>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</si>
  <si>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</si>
  <si>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</si>
  <si>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</si>
  <si>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</si>
  <si>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</si>
  <si>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</si>
  <si>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</si>
  <si>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</si>
  <si>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</si>
  <si>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</si>
  <si>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</si>
  <si>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</si>
  <si>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</si>
  <si>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</si>
  <si>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</si>
  <si>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</si>
  <si>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</si>
  <si>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</si>
  <si>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</si>
  <si>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</si>
  <si>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</si>
  <si>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</si>
  <si>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</si>
  <si>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</si>
  <si>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</si>
  <si>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</si>
  <si>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</si>
  <si>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</si>
  <si>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</si>
  <si>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</si>
  <si>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</si>
  <si>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</si>
  <si>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</si>
  <si>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</si>
  <si>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</si>
  <si>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</si>
  <si>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</si>
  <si>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</si>
  <si>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</si>
  <si>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</si>
  <si>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</si>
  <si>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</si>
  <si>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</si>
  <si>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</si>
  <si>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</si>
  <si>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</si>
  <si>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</si>
  <si>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</si>
  <si>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</si>
  <si>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</si>
  <si>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</si>
  <si>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</si>
  <si>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</si>
  <si>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</si>
  <si>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</si>
  <si>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</si>
  <si>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</si>
  <si>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</si>
  <si>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</si>
  <si>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</si>
  <si>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</si>
  <si>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</si>
  <si>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</si>
  <si>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</si>
  <si>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</si>
  <si>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</si>
  <si>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</si>
  <si>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</si>
  <si>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</si>
  <si>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</si>
  <si>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</si>
  <si>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</si>
  <si>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</si>
  <si>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</si>
  <si>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</si>
  <si>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</si>
  <si>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</si>
  <si>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</si>
  <si>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</si>
  <si>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</si>
  <si>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</si>
  <si>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</si>
  <si>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</si>
  <si>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</si>
  <si>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</si>
  <si>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</si>
  <si>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</si>
  <si>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</si>
  <si>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</si>
  <si>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</si>
  <si>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</si>
  <si>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</si>
  <si>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</si>
  <si>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</si>
  <si>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</si>
  <si>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</si>
  <si>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</si>
  <si>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</si>
  <si>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</si>
  <si>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</si>
  <si>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</si>
  <si>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</si>
  <si>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</si>
  <si>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</si>
  <si>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</si>
  <si>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</si>
  <si>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</si>
  <si>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</si>
  <si>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</si>
  <si>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</si>
  <si>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</si>
  <si>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</si>
  <si>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</si>
  <si>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</si>
  <si>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</si>
  <si>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</si>
  <si>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</si>
  <si>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</si>
  <si>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</si>
  <si>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</si>
  <si>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</si>
  <si>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</si>
  <si>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</si>
  <si>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</si>
  <si>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</si>
  <si>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</si>
  <si>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</si>
  <si>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</si>
  <si>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</si>
  <si>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</si>
  <si>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</si>
  <si>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</si>
  <si>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</si>
  <si>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</si>
  <si>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</si>
  <si>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</si>
  <si>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</si>
  <si>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</si>
  <si>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</si>
  <si>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</si>
  <si>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</si>
  <si>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</si>
  <si>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</si>
  <si>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</si>
  <si>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</si>
  <si>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</si>
  <si>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</si>
  <si>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</si>
  <si>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</si>
  <si>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</si>
  <si>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</si>
  <si>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</si>
  <si>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</si>
  <si>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</si>
  <si>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</si>
  <si>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</si>
  <si>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</si>
  <si>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</si>
  <si>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</si>
  <si>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</si>
  <si>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</si>
  <si>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</si>
  <si>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</si>
  <si>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</si>
  <si>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</si>
  <si>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</si>
  <si>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</si>
  <si>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</si>
  <si>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</si>
  <si>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</si>
  <si>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</si>
  <si>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</si>
  <si>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</si>
  <si>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</si>
  <si>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</si>
  <si>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</si>
  <si>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</si>
  <si>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</si>
  <si>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</si>
  <si>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</si>
  <si>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</si>
  <si>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</si>
  <si>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</si>
  <si>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</si>
  <si>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</si>
  <si>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</si>
  <si>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</si>
  <si>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</si>
  <si>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</si>
  <si>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</si>
  <si>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</si>
  <si>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</si>
  <si>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</si>
  <si>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</si>
  <si>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</si>
  <si>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</si>
  <si>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</si>
  <si>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</si>
  <si>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</si>
  <si>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</si>
  <si>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</si>
  <si>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</si>
  <si>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</si>
  <si>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</si>
  <si>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</si>
  <si>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</si>
  <si>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</si>
  <si>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</si>
  <si>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</si>
  <si>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</si>
  <si>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</si>
  <si>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</si>
  <si>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</si>
  <si>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</si>
  <si>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</si>
  <si>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</si>
  <si>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</si>
  <si>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</si>
  <si>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</si>
  <si>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</si>
  <si>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</si>
  <si>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</si>
  <si>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</si>
  <si>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</si>
  <si>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</si>
  <si>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</si>
  <si>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</si>
  <si>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</si>
  <si>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</si>
  <si>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</si>
  <si>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</si>
  <si>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</si>
  <si>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</si>
  <si>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</si>
  <si>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</si>
  <si>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</si>
  <si>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</si>
  <si>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</si>
  <si>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</si>
  <si>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</si>
  <si>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</si>
  <si>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</si>
  <si>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</si>
  <si>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</si>
  <si>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</si>
  <si>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</si>
  <si>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</si>
  <si>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</si>
  <si>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</si>
  <si>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</si>
  <si>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</si>
  <si>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</si>
  <si>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</si>
  <si>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</si>
  <si>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</si>
  <si>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</si>
  <si>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</si>
  <si>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</si>
  <si>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</si>
  <si>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</si>
  <si>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</si>
  <si>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</si>
  <si>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</si>
  <si>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</si>
  <si>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</si>
  <si>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</si>
  <si>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</si>
  <si>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</si>
  <si>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</si>
  <si>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</si>
  <si>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</si>
  <si>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</si>
  <si>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</si>
  <si>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</si>
  <si>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</si>
  <si>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</si>
  <si>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</si>
  <si>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</si>
  <si>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</si>
  <si>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</si>
  <si>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</si>
  <si>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</si>
  <si>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</si>
  <si>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</si>
  <si>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</si>
  <si>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</si>
  <si>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</si>
  <si>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</si>
  <si>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</si>
  <si>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</si>
  <si>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</si>
  <si>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</si>
  <si>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</si>
  <si>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</si>
  <si>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</si>
  <si>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</si>
  <si>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</si>
  <si>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</si>
  <si>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</si>
  <si>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</si>
  <si>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</si>
  <si>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</si>
  <si>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</si>
  <si>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</si>
  <si>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</si>
  <si>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</si>
  <si>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</si>
  <si>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</si>
  <si>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</si>
  <si>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</si>
  <si>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</si>
  <si>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</si>
  <si>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</si>
  <si>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</si>
  <si>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</si>
  <si>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</si>
  <si>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</si>
  <si>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</si>
  <si>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</si>
  <si>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</si>
  <si>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</si>
  <si>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</si>
  <si>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</si>
  <si>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</si>
  <si>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</si>
  <si>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</si>
  <si>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</si>
  <si>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</si>
  <si>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</si>
  <si>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</si>
  <si>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</si>
  <si>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</si>
  <si>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</si>
  <si>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</si>
  <si>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</si>
  <si>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</si>
  <si>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</si>
  <si>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</si>
  <si>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</si>
  <si>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</si>
  <si>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</si>
  <si>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</si>
  <si>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</si>
  <si>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</si>
  <si>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</si>
  <si>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</si>
  <si>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</si>
  <si>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</si>
  <si>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</si>
  <si>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</si>
  <si>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</si>
  <si>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</si>
  <si>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</si>
  <si>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</si>
  <si>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</si>
  <si>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</si>
  <si>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</si>
  <si>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</si>
  <si>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</si>
  <si>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</si>
  <si>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</si>
  <si>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</si>
  <si>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</si>
  <si>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</si>
  <si>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</si>
  <si>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</si>
  <si>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</si>
  <si>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</si>
  <si>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</si>
  <si>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</si>
  <si>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</si>
  <si>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</si>
  <si>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</si>
  <si>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</si>
  <si>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</si>
  <si>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</si>
  <si>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</si>
  <si>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</si>
  <si>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</si>
  <si>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</si>
  <si>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</si>
  <si>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</si>
  <si>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</si>
  <si>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</si>
  <si>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</si>
  <si>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</si>
  <si>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</si>
  <si>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</si>
  <si>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</si>
  <si>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</si>
  <si>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</si>
  <si>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</si>
  <si>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</si>
  <si>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</si>
  <si>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</si>
  <si>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</si>
  <si>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</si>
  <si>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</si>
  <si>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</si>
  <si>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</si>
  <si>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</si>
  <si>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</si>
  <si>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</si>
  <si>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</si>
  <si>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</si>
  <si>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</si>
  <si>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</si>
  <si>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</si>
  <si>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</si>
  <si>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</si>
  <si>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</si>
  <si>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</si>
  <si>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</si>
  <si>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</si>
  <si>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</si>
  <si>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</si>
  <si>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</si>
  <si>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</si>
  <si>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</si>
  <si>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</si>
  <si>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</si>
  <si>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</si>
  <si>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</si>
  <si>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</si>
  <si>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</si>
  <si>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</si>
  <si>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</si>
  <si>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</si>
  <si>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</si>
  <si>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</si>
  <si>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</si>
  <si>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</si>
  <si>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</si>
  <si>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</si>
  <si>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</si>
  <si>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</si>
  <si>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</si>
  <si>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</si>
  <si>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</si>
  <si>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</si>
  <si>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</si>
  <si>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</si>
  <si>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</si>
  <si>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</si>
  <si>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</si>
  <si>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</si>
  <si>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</si>
  <si>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</si>
  <si>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</si>
  <si>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</si>
  <si>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</si>
  <si>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</si>
  <si>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</si>
  <si>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</si>
  <si>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</si>
  <si>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</si>
  <si>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</si>
  <si>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</si>
  <si>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</si>
  <si>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</si>
  <si>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</si>
  <si>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</si>
  <si>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</si>
  <si>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</si>
  <si>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</si>
  <si>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</si>
  <si>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</si>
  <si>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</si>
  <si>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</si>
  <si>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</si>
  <si>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</si>
  <si>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</si>
  <si>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</si>
  <si>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</si>
  <si>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</si>
  <si>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</si>
  <si>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</si>
  <si>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</si>
  <si>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</si>
  <si>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</si>
  <si>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</si>
  <si>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</si>
  <si>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</si>
  <si>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</si>
  <si>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</si>
  <si>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</si>
  <si>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</si>
  <si>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</si>
  <si>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</si>
  <si>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</si>
  <si>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</si>
  <si>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</si>
  <si>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</si>
  <si>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</si>
  <si>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</si>
  <si>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</si>
  <si>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</si>
  <si>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</si>
  <si>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</si>
  <si>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</si>
  <si>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</si>
  <si>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</si>
  <si>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</si>
  <si>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</si>
  <si>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</si>
  <si>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</si>
  <si>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</si>
  <si>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</si>
  <si>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</si>
  <si>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</si>
  <si>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</si>
  <si>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</si>
  <si>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</si>
  <si>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</si>
  <si>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</si>
  <si>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</si>
  <si>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</si>
  <si>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</si>
  <si>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</si>
  <si>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</si>
  <si>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</si>
  <si>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</si>
  <si>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</si>
  <si>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</si>
  <si>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</si>
  <si>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</si>
  <si>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</si>
  <si>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</si>
  <si>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</si>
  <si>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</si>
  <si>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</si>
  <si>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</si>
  <si>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</si>
  <si>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</si>
  <si>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</si>
  <si>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</si>
  <si>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</si>
  <si>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</si>
  <si>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</si>
  <si>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</si>
  <si>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</si>
  <si>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</si>
  <si>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</si>
  <si>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</si>
  <si>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</si>
  <si>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</si>
  <si>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</si>
  <si>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</si>
  <si>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</si>
  <si>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</si>
  <si>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</si>
  <si>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</si>
  <si>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</si>
  <si>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</si>
  <si>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</si>
  <si>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</si>
  <si>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</si>
  <si>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</si>
  <si>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</si>
  <si>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</si>
  <si>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</si>
  <si>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</si>
  <si>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</si>
  <si>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</si>
  <si>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</si>
  <si>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</si>
  <si>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</si>
  <si>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</si>
  <si>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</si>
  <si>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</si>
  <si>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</si>
  <si>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</si>
  <si>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</si>
  <si>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</si>
  <si>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</si>
  <si>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</si>
  <si>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</si>
  <si>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</si>
  <si>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</si>
  <si>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</si>
  <si>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</si>
  <si>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</si>
  <si>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</si>
  <si>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</si>
  <si>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</si>
  <si>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</si>
  <si>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</si>
  <si>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</si>
  <si>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</si>
  <si>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</si>
  <si>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</si>
  <si>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</si>
  <si>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</si>
  <si>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</si>
  <si>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</si>
  <si>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</si>
  <si>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</si>
  <si>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</si>
  <si>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</si>
  <si>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</si>
  <si>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</si>
  <si>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</si>
  <si>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</si>
  <si>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</si>
  <si>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</si>
  <si>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</si>
  <si>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</si>
  <si>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</si>
  <si>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</si>
  <si>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</si>
  <si>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</si>
  <si>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</si>
  <si>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</si>
  <si>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</si>
  <si>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</si>
  <si>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</si>
  <si>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</si>
  <si>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</si>
  <si>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</si>
  <si>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</si>
  <si>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</si>
  <si>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</si>
  <si>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</si>
  <si>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</si>
  <si>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</si>
  <si>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</si>
  <si>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</si>
  <si>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</si>
  <si>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</si>
  <si>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</si>
  <si>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</si>
  <si>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</si>
  <si>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</si>
  <si>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</si>
  <si>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</si>
  <si>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</si>
  <si>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</si>
  <si>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</si>
  <si>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</si>
  <si>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</si>
  <si>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</si>
  <si>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</si>
  <si>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</si>
  <si>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</si>
  <si>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</si>
  <si>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</si>
  <si>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</si>
  <si>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</si>
  <si>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</si>
  <si>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</si>
  <si>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</si>
  <si>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</si>
  <si>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</si>
  <si>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</si>
  <si>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</si>
  <si>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</si>
  <si>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</si>
  <si>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</si>
  <si>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</si>
  <si>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</si>
  <si>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</si>
  <si>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</si>
  <si>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</si>
  <si>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</si>
  <si>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</si>
  <si>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</si>
  <si>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</si>
  <si>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</si>
  <si>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</si>
  <si>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</si>
  <si>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</si>
  <si>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</si>
  <si>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</si>
  <si>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</si>
  <si>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</si>
  <si>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</si>
  <si>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</si>
  <si>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</si>
  <si>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</si>
  <si>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</si>
  <si>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</si>
  <si>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</si>
  <si>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</si>
  <si>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</si>
  <si>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</si>
  <si>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</si>
  <si>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</si>
  <si>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</si>
  <si>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</si>
  <si>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</si>
  <si>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</si>
  <si>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</si>
  <si>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</si>
  <si>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</si>
  <si>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</si>
  <si>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</si>
  <si>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</si>
  <si>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</si>
  <si>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</si>
  <si>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</si>
  <si>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</si>
  <si>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</si>
  <si>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</si>
  <si>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</si>
  <si>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</si>
  <si>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</si>
  <si>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</si>
  <si>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</si>
  <si>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</si>
  <si>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</si>
  <si>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</si>
  <si>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</si>
  <si>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</si>
  <si>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</si>
  <si>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</si>
  <si>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</si>
  <si>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</si>
  <si>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</si>
  <si>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</si>
  <si>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</si>
  <si>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</si>
  <si>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</si>
  <si>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</si>
  <si>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</si>
  <si>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</si>
  <si>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</si>
  <si>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</si>
  <si>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</si>
  <si>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</si>
  <si>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</si>
  <si>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</si>
  <si>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</si>
  <si>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</si>
  <si>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</si>
  <si>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</si>
  <si>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</si>
  <si>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</si>
  <si>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</si>
  <si>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</si>
  <si>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</si>
  <si>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</si>
  <si>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</si>
  <si>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</si>
  <si>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</si>
  <si>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</si>
  <si>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</si>
  <si>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</si>
  <si>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</si>
  <si>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</si>
  <si>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</si>
  <si>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</si>
  <si>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</si>
  <si>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</si>
  <si>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</si>
  <si>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</si>
  <si>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</si>
  <si>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</si>
  <si>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</si>
  <si>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</si>
  <si>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</si>
  <si>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</si>
  <si>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</si>
  <si>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</si>
  <si>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</si>
  <si>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</si>
  <si>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</si>
  <si>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</si>
  <si>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</si>
  <si>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</si>
  <si>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</si>
  <si>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</si>
  <si>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</si>
  <si>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</si>
  <si>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</si>
  <si>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</si>
  <si>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</si>
  <si>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</si>
  <si>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</si>
  <si>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</si>
  <si>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</si>
  <si>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</si>
  <si>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</si>
  <si>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</si>
  <si>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</si>
  <si>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</si>
  <si>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</si>
  <si>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</si>
  <si>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</si>
  <si>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</si>
  <si>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</si>
  <si>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</si>
  <si>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</si>
  <si>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</si>
  <si>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</si>
  <si>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</si>
  <si>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</si>
  <si>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</si>
  <si>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</si>
  <si>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</si>
  <si>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</si>
  <si>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</si>
  <si>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</si>
  <si>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</si>
  <si>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</si>
  <si>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</si>
  <si>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</si>
  <si>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</si>
  <si>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</si>
  <si>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</si>
  <si>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</si>
  <si>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</si>
  <si>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</si>
  <si>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</si>
  <si>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</si>
  <si>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</si>
  <si>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</si>
  <si>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</si>
  <si>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</si>
  <si>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</si>
  <si>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</si>
  <si>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</si>
  <si>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</si>
  <si>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</si>
  <si>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</si>
  <si>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</si>
  <si>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</si>
  <si>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</si>
  <si>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</si>
  <si>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</si>
  <si>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</si>
  <si>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</si>
  <si>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</si>
  <si>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</si>
  <si>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</si>
  <si>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</si>
  <si>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</si>
  <si>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</si>
  <si>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</si>
  <si>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</si>
  <si>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</si>
  <si>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</si>
  <si>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</si>
  <si>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</si>
  <si>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</si>
  <si>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</si>
  <si>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</si>
  <si>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</si>
  <si>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</si>
  <si>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</si>
  <si>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</si>
  <si>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</si>
  <si>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</si>
  <si>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</si>
  <si>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</si>
  <si>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</si>
  <si>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</si>
  <si>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</si>
  <si>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</si>
  <si>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</si>
  <si>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</si>
  <si>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</si>
  <si>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</si>
  <si>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</si>
  <si>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</si>
  <si>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</si>
  <si>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</si>
  <si>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</si>
  <si>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</si>
  <si>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</si>
  <si>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</si>
  <si>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</si>
  <si>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</si>
  <si>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</si>
  <si>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</si>
  <si>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</si>
  <si>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</si>
  <si>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</si>
  <si>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</si>
  <si>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</si>
  <si>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</si>
  <si>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</si>
  <si>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</si>
  <si>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</si>
  <si>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</si>
  <si>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</si>
  <si>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</si>
  <si>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</si>
  <si>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</si>
  <si>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</si>
  <si>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</si>
  <si>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</si>
  <si>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</si>
  <si>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</si>
  <si>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</si>
  <si>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</si>
  <si>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</si>
  <si>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</si>
  <si>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</si>
  <si>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</si>
  <si>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</si>
  <si>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</si>
  <si>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</si>
  <si>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</si>
  <si>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</si>
  <si>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</si>
  <si>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</si>
  <si>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</si>
  <si>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</si>
  <si>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</si>
  <si>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</si>
  <si>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</si>
  <si>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</si>
  <si>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</si>
  <si>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</si>
  <si>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</si>
  <si>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</si>
  <si>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</si>
  <si>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</si>
  <si>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</si>
  <si>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</si>
  <si>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</si>
  <si>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</si>
  <si>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</si>
  <si>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</si>
  <si>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</si>
  <si>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</si>
  <si>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</si>
  <si>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</si>
  <si>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</si>
  <si>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</si>
  <si>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</si>
  <si>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</si>
  <si>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</si>
  <si>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</si>
  <si>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</si>
  <si>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</si>
  <si>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</si>
  <si>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</si>
  <si>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</si>
  <si>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</si>
  <si>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</si>
  <si>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</si>
  <si>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</si>
  <si>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</si>
  <si>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</si>
  <si>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</si>
  <si>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</si>
  <si>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</si>
  <si>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</si>
  <si>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</si>
  <si>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</si>
  <si>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</si>
  <si>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</si>
  <si>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</si>
  <si>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</si>
  <si>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</si>
  <si>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</si>
  <si>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</si>
  <si>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</si>
  <si>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</si>
  <si>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</si>
  <si>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</si>
  <si>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</si>
  <si>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</si>
  <si>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</si>
  <si>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</si>
  <si>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</si>
  <si>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</si>
  <si>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</si>
  <si>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</si>
  <si>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</si>
  <si>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</si>
  <si>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</si>
  <si>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</si>
  <si>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</si>
  <si>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</si>
  <si>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</si>
  <si>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</si>
  <si>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</si>
  <si>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</si>
  <si>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</si>
  <si>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</si>
  <si>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</si>
  <si>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</si>
  <si>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</si>
  <si>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</si>
  <si>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</si>
  <si>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</si>
  <si>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</si>
  <si>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</si>
  <si>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</si>
  <si>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</si>
  <si>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</si>
  <si>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</si>
  <si>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</si>
  <si>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</si>
  <si>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</si>
  <si>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</si>
  <si>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</si>
  <si>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</si>
  <si>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</si>
  <si>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</si>
  <si>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</si>
  <si>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</si>
  <si>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</si>
  <si>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</si>
  <si>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</si>
  <si>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</si>
  <si>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</si>
  <si>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</si>
  <si>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</si>
  <si>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</si>
  <si>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</si>
  <si>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</si>
  <si>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</si>
  <si>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</si>
  <si>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</si>
  <si>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</si>
  <si>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</si>
  <si>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</si>
  <si>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</si>
  <si>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</si>
  <si>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</si>
  <si>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</si>
  <si>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</si>
  <si>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</si>
  <si>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</si>
  <si>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</si>
  <si>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</si>
  <si>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</si>
  <si>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</si>
  <si>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</si>
  <si>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</si>
  <si>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</si>
  <si>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</si>
  <si>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</si>
  <si>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</si>
  <si>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</si>
  <si>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</si>
  <si>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</si>
  <si>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</si>
  <si>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</si>
  <si>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</si>
  <si>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</si>
  <si>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</si>
  <si>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</si>
  <si>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</si>
  <si>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</si>
  <si>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</si>
  <si>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</si>
  <si>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</si>
  <si>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</si>
  <si>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</si>
  <si>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</si>
  <si>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</si>
  <si>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</si>
  <si>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</si>
  <si>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</si>
  <si>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</si>
  <si>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</si>
  <si>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</si>
  <si>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</si>
  <si>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</si>
  <si>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</si>
  <si>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</si>
  <si>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</si>
  <si>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</si>
  <si>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</si>
  <si>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</si>
  <si>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</si>
  <si>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</si>
  <si>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</si>
  <si>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</si>
  <si>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</si>
  <si>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</si>
  <si>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</si>
  <si>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</si>
  <si>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</si>
  <si>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</si>
  <si>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</si>
  <si>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</si>
  <si>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</si>
  <si>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</si>
  <si>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</si>
  <si>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</si>
  <si>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</si>
  <si>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</si>
  <si>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</si>
  <si>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</si>
  <si>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</si>
  <si>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</si>
  <si>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</si>
  <si>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</si>
  <si>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</si>
  <si>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</si>
  <si>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</si>
  <si>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</si>
  <si>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</si>
  <si>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</si>
  <si>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</si>
  <si>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</si>
  <si>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</si>
  <si>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</si>
  <si>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</si>
  <si>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</si>
  <si>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</si>
  <si>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</si>
  <si>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</si>
  <si>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</si>
  <si>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</si>
  <si>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</si>
  <si>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</si>
  <si>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</si>
  <si>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</si>
  <si>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</si>
  <si>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</si>
  <si>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</si>
  <si>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</si>
  <si>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</si>
  <si>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</si>
  <si>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</si>
  <si>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</si>
  <si>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</si>
  <si>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</si>
  <si>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</si>
  <si>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</si>
  <si>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</si>
  <si>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</si>
  <si>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</si>
  <si>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</si>
  <si>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</si>
  <si>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</si>
  <si>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</si>
  <si>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</si>
  <si>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</si>
  <si>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</si>
  <si>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</si>
  <si>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</si>
  <si>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</si>
  <si>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</si>
  <si>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</si>
  <si>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</si>
  <si>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</si>
  <si>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</si>
  <si>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</si>
  <si>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</si>
  <si>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</si>
  <si>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</si>
  <si>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</si>
  <si>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</si>
  <si>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</si>
  <si>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</si>
  <si>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</si>
  <si>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</si>
  <si>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</si>
  <si>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</si>
  <si>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</si>
  <si>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</si>
  <si>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</si>
  <si>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</si>
  <si>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</si>
  <si>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</si>
  <si>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</si>
  <si>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</si>
  <si>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</si>
  <si>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</si>
  <si>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</si>
  <si>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</si>
  <si>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</si>
  <si>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</si>
  <si>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</si>
  <si>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</si>
  <si>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</si>
  <si>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</si>
  <si>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</si>
  <si>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</si>
  <si>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</si>
  <si>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</si>
  <si>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</si>
  <si>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</si>
  <si>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</si>
  <si>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</si>
  <si>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</si>
  <si>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</si>
  <si>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</si>
  <si>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</si>
  <si>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</si>
  <si>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</si>
  <si>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</si>
  <si>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</si>
  <si>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</si>
  <si>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</si>
  <si>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</si>
  <si>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</si>
  <si>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</si>
  <si>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</si>
  <si>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</si>
  <si>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</si>
  <si>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</si>
  <si>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</si>
  <si>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</si>
  <si>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</si>
  <si>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</si>
  <si>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</si>
  <si>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</si>
  <si>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</si>
  <si>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</si>
  <si>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</si>
  <si>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</si>
  <si>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</si>
  <si>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</si>
  <si>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</si>
  <si>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</si>
  <si>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</si>
  <si>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</si>
  <si>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</si>
  <si>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</si>
  <si>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</si>
  <si>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</si>
  <si>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</si>
  <si>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</si>
  <si>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</si>
  <si>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</si>
  <si>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</si>
  <si>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</si>
  <si>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</si>
  <si>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</si>
  <si>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</si>
  <si>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</si>
  <si>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</si>
  <si>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</si>
  <si>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</si>
  <si>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</si>
  <si>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</si>
  <si>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</si>
  <si>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</si>
  <si>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</si>
  <si>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</si>
  <si>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</si>
  <si>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</si>
  <si>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</si>
  <si>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</si>
  <si>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</si>
  <si>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</si>
  <si>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</si>
  <si>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</si>
  <si>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</si>
  <si>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</si>
  <si>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</si>
  <si>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</si>
  <si>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</si>
  <si>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</si>
  <si>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</si>
  <si>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</si>
  <si>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</si>
  <si>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</si>
  <si>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</si>
  <si>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</si>
  <si>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</si>
  <si>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</si>
  <si>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</si>
  <si>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</si>
  <si>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</si>
  <si>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</si>
  <si>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</si>
  <si>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</si>
  <si>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</si>
  <si>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</si>
  <si>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</si>
  <si>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</si>
  <si>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</si>
  <si>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</si>
  <si>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</si>
  <si>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</si>
  <si>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</si>
  <si>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</si>
  <si>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</si>
  <si>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</si>
  <si>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</si>
  <si>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</si>
  <si>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</si>
  <si>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</si>
  <si>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</si>
  <si>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</si>
  <si>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</si>
  <si>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</si>
  <si>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</si>
  <si>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</si>
  <si>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</si>
  <si>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</si>
  <si>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</si>
  <si>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</si>
  <si>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</si>
  <si>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</si>
  <si>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</si>
  <si>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</si>
  <si>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</si>
  <si>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</si>
  <si>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</si>
  <si>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</si>
  <si>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</si>
  <si>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</si>
  <si>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</si>
  <si>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</si>
  <si>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</si>
  <si>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</si>
  <si>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</si>
  <si>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</si>
  <si>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</si>
  <si>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</si>
  <si>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</si>
  <si>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</si>
  <si>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</si>
  <si>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</si>
  <si>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</si>
  <si>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</si>
  <si>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</si>
  <si>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</si>
  <si>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</si>
  <si>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</si>
  <si>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</si>
  <si>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</si>
  <si>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</si>
  <si>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</si>
  <si>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</si>
  <si>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</si>
  <si>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</si>
  <si>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</si>
  <si>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</si>
  <si>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</si>
  <si>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</si>
  <si>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</si>
  <si>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</si>
  <si>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</si>
  <si>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</si>
  <si>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</si>
  <si>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</si>
  <si>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</si>
  <si>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</si>
  <si>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</si>
  <si>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</si>
  <si>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</si>
  <si>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</si>
  <si>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</si>
  <si>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</si>
  <si>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</si>
  <si>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</si>
  <si>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</si>
  <si>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</si>
  <si>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</si>
  <si>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</si>
  <si>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</si>
  <si>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</si>
  <si>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</si>
  <si>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</si>
  <si>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</si>
  <si>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</si>
  <si>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</si>
  <si>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</si>
  <si>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</si>
  <si>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</si>
  <si>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</si>
  <si>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</si>
  <si>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</si>
  <si>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</si>
  <si>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</si>
  <si>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</si>
  <si>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</si>
  <si>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</si>
  <si>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</si>
  <si>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</si>
  <si>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</si>
  <si>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</si>
  <si>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</si>
  <si>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</si>
  <si>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</si>
  <si>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</si>
  <si>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</si>
  <si>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</si>
  <si>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</si>
  <si>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</si>
  <si>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</si>
  <si>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</si>
  <si>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</si>
  <si>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</si>
  <si>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</si>
  <si>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</si>
  <si>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</si>
  <si>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</si>
  <si>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</si>
  <si>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</si>
  <si>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</si>
  <si>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</si>
  <si>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</si>
  <si>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</si>
  <si>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</si>
  <si>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</si>
  <si>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</si>
  <si>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</si>
  <si>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</si>
  <si>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</si>
  <si>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</si>
  <si>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</si>
  <si>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</si>
  <si>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</si>
  <si>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</si>
  <si>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</si>
  <si>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</si>
  <si>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</si>
  <si>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</si>
  <si>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</si>
  <si>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</si>
  <si>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</si>
  <si>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</si>
  <si>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</si>
  <si>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</si>
  <si>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</si>
  <si>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</si>
  <si>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</si>
  <si>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</si>
  <si>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</si>
  <si>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</si>
  <si>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</si>
  <si>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</si>
  <si>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</si>
  <si>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</si>
  <si>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</si>
  <si>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</si>
  <si>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</si>
  <si>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</si>
  <si>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</si>
  <si>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</si>
  <si>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</si>
  <si>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</si>
  <si>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</si>
  <si>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</si>
  <si>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</si>
  <si>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</si>
  <si>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</si>
  <si>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</si>
  <si>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</si>
  <si>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</si>
  <si>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</si>
  <si>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</si>
  <si>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</si>
  <si>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</si>
  <si>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</si>
  <si>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</si>
  <si>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</si>
  <si>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</si>
  <si>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</si>
  <si>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</si>
  <si>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</si>
  <si>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</si>
  <si>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</si>
  <si>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</si>
  <si>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</si>
  <si>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</si>
  <si>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</si>
  <si>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</si>
  <si>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</si>
  <si>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</si>
  <si>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</si>
  <si>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</si>
  <si>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</si>
  <si>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</si>
  <si>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</si>
  <si>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</si>
  <si>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</si>
  <si>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</si>
  <si>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</si>
  <si>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</si>
  <si>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</si>
  <si>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</si>
  <si>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</si>
  <si>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</si>
  <si>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</si>
  <si>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</si>
  <si>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</si>
  <si>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</si>
  <si>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</si>
  <si>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</si>
  <si>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</si>
  <si>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</si>
  <si>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</si>
  <si>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</si>
  <si>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</si>
  <si>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</si>
  <si>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</si>
  <si>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</si>
  <si>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</si>
  <si>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</si>
  <si>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</si>
  <si>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</si>
  <si>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</si>
  <si>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</si>
  <si>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</si>
  <si>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</si>
  <si>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</si>
  <si>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</si>
  <si>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</si>
  <si>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</si>
  <si>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</si>
  <si>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</si>
  <si>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</si>
  <si>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</si>
  <si>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</si>
  <si>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</si>
  <si>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</si>
  <si>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</si>
  <si>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</si>
  <si>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</si>
  <si>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</si>
  <si>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</si>
  <si>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</si>
  <si>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</si>
  <si>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</si>
  <si>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</si>
  <si>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</si>
  <si>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</si>
  <si>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</si>
  <si>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</si>
  <si>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</si>
  <si>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</si>
  <si>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</si>
  <si>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</si>
  <si>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</si>
  <si>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</si>
  <si>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</si>
  <si>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</si>
  <si>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</si>
  <si>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</si>
  <si>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</si>
  <si>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</si>
  <si>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</si>
  <si>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</si>
  <si>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</si>
  <si>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</si>
  <si>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</si>
  <si>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</si>
  <si>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</si>
  <si>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</si>
  <si>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</si>
  <si>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</si>
  <si>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</si>
  <si>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</si>
  <si>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</si>
  <si>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</si>
  <si>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</si>
  <si>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</si>
  <si>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</si>
  <si>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</si>
  <si>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</si>
  <si>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</si>
  <si>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</si>
  <si>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</si>
  <si>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</si>
  <si>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</si>
  <si>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</si>
  <si>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</si>
  <si>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</si>
  <si>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</si>
  <si>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</si>
  <si>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</si>
  <si>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</si>
  <si>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</si>
  <si>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</si>
  <si>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</si>
  <si>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</si>
  <si>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</si>
  <si>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</si>
  <si>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</si>
  <si>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</si>
  <si>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</si>
  <si>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</si>
  <si>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</si>
  <si>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</si>
  <si>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</si>
  <si>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</si>
  <si>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</si>
  <si>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</si>
  <si>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</si>
  <si>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</si>
  <si>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</si>
  <si>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</si>
  <si>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</si>
  <si>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</si>
  <si>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</si>
  <si>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</si>
  <si>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</si>
  <si>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</si>
  <si>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</si>
  <si>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</si>
  <si>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</si>
  <si>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</si>
  <si>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</si>
  <si>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</si>
  <si>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</si>
  <si>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</si>
  <si>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</si>
  <si>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</si>
  <si>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</si>
  <si>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</si>
  <si>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</si>
  <si>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</si>
  <si>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</si>
  <si>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</si>
  <si>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</si>
  <si>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</si>
  <si>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</si>
  <si>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</si>
  <si>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</si>
  <si>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</si>
  <si>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</si>
  <si>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</si>
  <si>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</si>
  <si>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</si>
  <si>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</si>
  <si>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</si>
  <si>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</si>
  <si>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</si>
  <si>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</si>
  <si>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</si>
  <si>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</si>
  <si>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</si>
  <si>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</si>
  <si>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</si>
  <si>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</si>
  <si>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</si>
  <si>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</si>
  <si>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</si>
  <si>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</si>
  <si>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</si>
  <si>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</si>
  <si>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</si>
  <si>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</si>
  <si>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</si>
  <si>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</si>
  <si>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</si>
  <si>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</si>
  <si>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</si>
  <si>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</si>
  <si>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</si>
  <si>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</si>
  <si>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</si>
  <si>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</si>
  <si>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</si>
  <si>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</si>
  <si>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</si>
  <si>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</si>
  <si>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</si>
  <si>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</si>
  <si>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</si>
  <si>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</si>
  <si>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</si>
  <si>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</si>
  <si>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</si>
  <si>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</si>
  <si>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</si>
  <si>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</si>
  <si>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</si>
  <si>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</si>
  <si>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</si>
  <si>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</si>
  <si>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</si>
  <si>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</si>
  <si>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</si>
  <si>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</si>
  <si>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</si>
  <si>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</si>
  <si>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</si>
  <si>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</si>
  <si>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</si>
  <si>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</si>
  <si>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</si>
  <si>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</si>
  <si>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</si>
  <si>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</si>
  <si>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</si>
  <si>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</si>
  <si>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</si>
  <si>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</si>
  <si>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</si>
  <si>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</si>
  <si>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</si>
  <si>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</si>
  <si>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</si>
  <si>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</si>
  <si>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</si>
  <si>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</si>
  <si>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</si>
  <si>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</si>
  <si>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</si>
  <si>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</si>
  <si>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</si>
  <si>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</si>
  <si>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</si>
  <si>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</si>
  <si>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</si>
  <si>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</si>
  <si>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</si>
  <si>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</si>
  <si>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</si>
  <si>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</si>
  <si>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</si>
  <si>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</si>
  <si>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</si>
  <si>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</si>
  <si>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</si>
  <si>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</si>
  <si>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</si>
  <si>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</si>
  <si>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</si>
  <si>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</si>
  <si>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</si>
  <si>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</si>
  <si>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</si>
  <si>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</si>
  <si>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</si>
  <si>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</si>
  <si>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</si>
  <si>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</si>
  <si>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</si>
  <si>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</si>
  <si>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</si>
  <si>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</si>
  <si>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</si>
  <si>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</si>
  <si>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</si>
  <si>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</si>
  <si>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</si>
  <si>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</si>
  <si>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</si>
  <si>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</si>
  <si>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</si>
  <si>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</si>
  <si>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</si>
  <si>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</si>
  <si>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</si>
  <si>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</si>
  <si>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</si>
  <si>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</si>
  <si>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</si>
  <si>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</si>
  <si>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</si>
  <si>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</si>
  <si>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</si>
  <si>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</si>
  <si>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</si>
  <si>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</si>
  <si>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</si>
  <si>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</si>
  <si>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</si>
  <si>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</si>
  <si>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</si>
  <si>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</si>
  <si>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</si>
  <si>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</si>
  <si>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</si>
  <si>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</si>
  <si>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</si>
  <si>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</si>
  <si>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</si>
  <si>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</si>
  <si>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</si>
  <si>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</si>
  <si>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</si>
  <si>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</si>
  <si>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</si>
  <si>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</si>
  <si>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</si>
  <si>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</si>
  <si>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</si>
  <si>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</si>
  <si>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</si>
  <si>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</si>
  <si>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</si>
  <si>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</si>
  <si>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</si>
  <si>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</si>
  <si>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</si>
  <si>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</si>
  <si>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</si>
  <si>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</si>
  <si>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</si>
  <si>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</si>
  <si>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</si>
  <si>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</si>
  <si>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</si>
  <si>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</si>
  <si>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</si>
  <si>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</si>
  <si>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</si>
  <si>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</si>
  <si>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</si>
  <si>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</si>
  <si>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</si>
  <si>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</si>
  <si>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</si>
  <si>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</si>
  <si>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</si>
  <si>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</si>
  <si>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</si>
  <si>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</si>
  <si>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</si>
  <si>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</si>
  <si>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</si>
  <si>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</si>
  <si>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</si>
  <si>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</si>
  <si>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</si>
  <si>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</si>
  <si>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</si>
  <si>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</si>
  <si>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</si>
  <si>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</si>
  <si>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</si>
  <si>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</si>
  <si>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</si>
  <si>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</si>
  <si>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</si>
  <si>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</si>
  <si>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</si>
  <si>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</si>
  <si>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</si>
  <si>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</si>
  <si>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</si>
  <si>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</si>
  <si>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</si>
  <si>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</si>
  <si>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</si>
  <si>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</si>
  <si>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</si>
  <si>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</si>
  <si>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</si>
  <si>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</si>
  <si>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</si>
  <si>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</si>
  <si>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</si>
  <si>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</si>
  <si>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</si>
  <si>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</si>
  <si>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</si>
  <si>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</si>
  <si>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</si>
  <si>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</si>
  <si>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</si>
  <si>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</si>
  <si>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</si>
  <si>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</si>
  <si>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</si>
  <si>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</si>
  <si>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</si>
  <si>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</si>
  <si>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</si>
  <si>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</si>
  <si>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</si>
  <si>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</si>
  <si>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</si>
  <si>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</si>
  <si>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</si>
  <si>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</si>
  <si>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</si>
  <si>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</si>
  <si>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</si>
  <si>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</si>
  <si>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</si>
  <si>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</si>
  <si>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</si>
  <si>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</si>
  <si>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</si>
  <si>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</si>
  <si>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</si>
  <si>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</si>
  <si>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</si>
  <si>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</si>
  <si>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</si>
  <si>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</si>
  <si>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</si>
  <si>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</si>
  <si>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</si>
  <si>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</si>
  <si>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</si>
  <si>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</si>
  <si>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</si>
  <si>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</si>
  <si>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</si>
  <si>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</si>
  <si>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</si>
  <si>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</si>
  <si>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</si>
  <si>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</si>
  <si>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</si>
  <si>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</si>
  <si>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</si>
  <si>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</si>
  <si>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</si>
  <si>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</si>
  <si>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</si>
  <si>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</si>
  <si>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</si>
  <si>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</si>
  <si>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</si>
  <si>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</si>
  <si>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</si>
  <si>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</si>
  <si>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</si>
  <si>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</si>
  <si>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</si>
  <si>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</si>
  <si>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</si>
  <si>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</si>
  <si>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</si>
  <si>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</si>
  <si>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</si>
  <si>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</si>
  <si>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</si>
  <si>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</si>
  <si>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</si>
  <si>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</si>
  <si>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</si>
  <si>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</si>
  <si>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</si>
  <si>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</si>
  <si>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</si>
  <si>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</si>
  <si>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</si>
  <si>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</si>
  <si>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</si>
  <si>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</si>
  <si>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</si>
  <si>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</si>
  <si>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</si>
  <si>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</si>
  <si>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</si>
  <si>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</si>
  <si>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</si>
  <si>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</si>
  <si>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</si>
  <si>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</si>
  <si>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</si>
  <si>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</si>
  <si>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</si>
  <si>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</si>
  <si>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</si>
  <si>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</si>
  <si>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</si>
  <si>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</si>
  <si>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</si>
  <si>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</si>
  <si>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</si>
  <si>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</si>
  <si>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</si>
  <si>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</si>
  <si>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</si>
  <si>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</si>
  <si>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</si>
  <si>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</si>
  <si>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</si>
  <si>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</si>
  <si>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</si>
  <si>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</si>
  <si>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</si>
  <si>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</si>
  <si>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</si>
  <si>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</si>
  <si>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</si>
  <si>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</si>
  <si>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</si>
  <si>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</si>
  <si>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</si>
  <si>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</si>
  <si>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</si>
  <si>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</si>
  <si>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</si>
  <si>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</si>
  <si>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</si>
  <si>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</si>
  <si>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</si>
  <si>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</si>
  <si>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</si>
  <si>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</si>
  <si>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</si>
  <si>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</si>
  <si>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</si>
  <si>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</si>
  <si>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</si>
  <si>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</si>
  <si>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</si>
  <si>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</si>
  <si>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</si>
  <si>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</si>
  <si>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</si>
  <si>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</si>
  <si>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</si>
  <si>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</si>
  <si>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</si>
  <si>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</si>
  <si>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</si>
  <si>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</si>
  <si>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</si>
  <si>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</si>
  <si>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</si>
  <si>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</si>
  <si>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</si>
  <si>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</si>
  <si>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</si>
  <si>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</si>
  <si>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</si>
  <si>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</si>
  <si>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</si>
  <si>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</si>
  <si>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</si>
  <si>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</si>
  <si>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</si>
  <si>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</si>
  <si>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</si>
  <si>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</si>
  <si>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</si>
  <si>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</si>
  <si>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</si>
  <si>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</si>
  <si>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</si>
  <si>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</si>
  <si>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</si>
  <si>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</si>
  <si>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</si>
  <si>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</si>
  <si>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</si>
  <si>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</si>
  <si>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</si>
  <si>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</si>
  <si>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</si>
  <si>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</si>
  <si>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</si>
  <si>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</si>
  <si>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</si>
  <si>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</si>
  <si>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</si>
  <si>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</si>
  <si>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</si>
  <si>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</si>
  <si>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</si>
  <si>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</si>
  <si>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</si>
  <si>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</si>
  <si>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</si>
  <si>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</si>
  <si>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</si>
  <si>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</si>
  <si>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</si>
  <si>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</si>
  <si>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</si>
  <si>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</si>
  <si>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</si>
  <si>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</si>
  <si>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</si>
  <si>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</si>
  <si>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</si>
  <si>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</si>
  <si>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</si>
  <si>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</si>
  <si>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</si>
  <si>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</si>
  <si>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</si>
  <si>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</si>
  <si>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</si>
  <si>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</si>
  <si>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</si>
  <si>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</si>
  <si>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</si>
  <si>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</si>
  <si>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</si>
  <si>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</si>
  <si>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</si>
  <si>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</si>
  <si>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</si>
  <si>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</si>
  <si>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</si>
  <si>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</si>
  <si>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</si>
  <si>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</si>
  <si>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</si>
  <si>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</si>
  <si>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</si>
  <si>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</si>
  <si>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</si>
  <si>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</si>
  <si>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</si>
  <si>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</si>
  <si>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</si>
  <si>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</si>
  <si>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</si>
  <si>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</si>
  <si>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</si>
  <si>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</si>
  <si>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</si>
  <si>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</si>
  <si>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</si>
  <si>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</si>
  <si>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</si>
  <si>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</si>
  <si>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</si>
  <si>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</si>
  <si>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</si>
  <si>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</si>
  <si>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</si>
  <si>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</si>
  <si>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</si>
  <si>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</si>
  <si>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</si>
  <si>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</si>
  <si>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</si>
  <si>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</si>
  <si>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</si>
  <si>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</si>
  <si>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</si>
  <si>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</si>
  <si>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</si>
  <si>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</si>
  <si>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</si>
  <si>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</si>
  <si>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</si>
  <si>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</si>
  <si>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</si>
  <si>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</si>
  <si>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</si>
  <si>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</si>
  <si>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</si>
  <si>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</si>
  <si>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</si>
  <si>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</si>
  <si>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</si>
  <si>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</si>
  <si>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</si>
  <si>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</si>
  <si>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</si>
  <si>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</si>
  <si>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</si>
  <si>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</si>
  <si>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</si>
  <si>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</si>
  <si>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</si>
  <si>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</si>
  <si>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</si>
  <si>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</si>
  <si>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</si>
  <si>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</si>
  <si>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</si>
  <si>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</si>
  <si>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</si>
  <si>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</si>
  <si>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</si>
  <si>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</si>
  <si>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</si>
  <si>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</si>
  <si>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</si>
  <si>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</si>
  <si>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</si>
  <si>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</si>
  <si>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</si>
  <si>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</si>
  <si>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</si>
  <si>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</si>
  <si>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</si>
  <si>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</si>
  <si>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</si>
  <si>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</si>
  <si>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</si>
  <si>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</si>
  <si>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</si>
  <si>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</si>
  <si>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</si>
  <si>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</si>
  <si>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</si>
  <si>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</si>
  <si>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</si>
  <si>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</si>
  <si>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</si>
  <si>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</si>
  <si>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</si>
  <si>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</si>
  <si>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</si>
  <si>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</si>
  <si>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</si>
  <si>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</si>
  <si>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</si>
  <si>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</si>
  <si>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</si>
  <si>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</si>
  <si>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</si>
  <si>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</si>
  <si>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</si>
  <si>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</si>
  <si>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</si>
  <si>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</si>
  <si>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</si>
  <si>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</si>
  <si>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</si>
  <si>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</si>
  <si>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</si>
  <si>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</si>
  <si>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</si>
  <si>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</si>
  <si>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</si>
  <si>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</si>
  <si>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</si>
  <si>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</si>
  <si>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</si>
  <si>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</si>
  <si>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</si>
  <si>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</si>
  <si>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</si>
  <si>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</si>
  <si>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</si>
  <si>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</si>
  <si>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</si>
  <si>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</si>
  <si>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</si>
  <si>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</si>
  <si>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</si>
  <si>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</si>
  <si>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</si>
  <si>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</si>
  <si>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</si>
  <si>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</si>
  <si>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</si>
  <si>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</si>
  <si>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</si>
  <si>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</si>
  <si>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</si>
  <si>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</si>
  <si>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</si>
  <si>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</si>
  <si>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</si>
  <si>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</si>
  <si>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</si>
  <si>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</si>
  <si>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</si>
  <si>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</si>
  <si>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</si>
  <si>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</si>
  <si>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</si>
  <si>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</si>
  <si>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</si>
  <si>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</si>
  <si>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</si>
  <si>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</si>
  <si>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</si>
  <si>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</si>
  <si>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</si>
  <si>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</si>
  <si>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</si>
  <si>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</si>
  <si>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</si>
  <si>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</si>
  <si>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</si>
  <si>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</si>
  <si>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</si>
  <si>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</si>
  <si>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</si>
  <si>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</si>
  <si>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</si>
  <si>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</si>
  <si>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</si>
  <si>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</si>
  <si>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</si>
  <si>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</si>
  <si>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</si>
  <si>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</si>
  <si>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</si>
  <si>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</si>
  <si>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</si>
  <si>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</si>
  <si>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</si>
  <si>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</si>
  <si>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</si>
  <si>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</si>
  <si>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</si>
  <si>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</si>
  <si>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</si>
  <si>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</si>
  <si>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</si>
  <si>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</si>
  <si>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</si>
  <si>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</si>
  <si>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</si>
  <si>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</si>
  <si>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</si>
  <si>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</si>
  <si>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</si>
  <si>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</si>
  <si>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</si>
  <si>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</si>
  <si>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</si>
  <si>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</si>
  <si>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</si>
  <si>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</si>
  <si>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</si>
  <si>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</si>
  <si>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</si>
  <si>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</si>
  <si>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</si>
  <si>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</si>
  <si>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</si>
  <si>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</si>
  <si>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</si>
  <si>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</si>
  <si>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</si>
  <si>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</si>
  <si>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</si>
  <si>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</si>
  <si>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</si>
  <si>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</si>
  <si>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</si>
  <si>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</si>
  <si>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</si>
  <si>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</si>
  <si>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</si>
  <si>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</si>
  <si>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</si>
  <si>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</si>
  <si>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</si>
  <si>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</si>
  <si>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</si>
  <si>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</si>
  <si>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</si>
  <si>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</si>
  <si>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</si>
  <si>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</si>
  <si>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</si>
  <si>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</si>
  <si>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</si>
  <si>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</si>
  <si>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</si>
  <si>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</si>
  <si>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</si>
  <si>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</si>
  <si>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</si>
  <si>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</si>
  <si>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</si>
  <si>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</si>
  <si>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</si>
  <si>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</si>
  <si>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</si>
  <si>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</si>
  <si>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</si>
  <si>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</si>
  <si>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</si>
  <si>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</si>
  <si>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</si>
  <si>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</si>
  <si>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</si>
  <si>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</si>
  <si>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</si>
  <si>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</si>
  <si>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</si>
  <si>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</si>
  <si>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</si>
  <si>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</si>
  <si>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</si>
  <si>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</si>
  <si>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</si>
  <si>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</si>
  <si>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</si>
  <si>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</si>
  <si>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</si>
  <si>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</si>
  <si>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</si>
  <si>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</si>
  <si>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</si>
  <si>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</si>
  <si>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</si>
  <si>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</si>
  <si>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</si>
  <si>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</si>
  <si>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</si>
  <si>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</si>
  <si>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</si>
  <si>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</si>
  <si>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</si>
  <si>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</si>
  <si>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</si>
  <si>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</si>
  <si>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</si>
  <si>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</si>
  <si>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</si>
  <si>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</si>
  <si>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</si>
  <si>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</si>
  <si>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</si>
  <si>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</si>
  <si>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</si>
  <si>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</si>
  <si>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</si>
  <si>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</si>
  <si>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</si>
  <si>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</si>
  <si>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</si>
  <si>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</si>
  <si>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</si>
  <si>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</si>
  <si>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</si>
  <si>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</si>
  <si>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</si>
  <si>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</si>
  <si>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</si>
  <si>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</si>
  <si>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</si>
  <si>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</si>
  <si>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</si>
  <si>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</si>
  <si>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</si>
  <si>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</si>
  <si>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</si>
  <si>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</si>
  <si>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</si>
  <si>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</si>
  <si>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</si>
  <si>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</si>
  <si>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</si>
  <si>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</si>
  <si>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</si>
  <si>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</si>
  <si>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</si>
  <si>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</si>
  <si>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</si>
  <si>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</si>
  <si>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</si>
  <si>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</si>
  <si>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</si>
  <si>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</si>
  <si>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</si>
  <si>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</si>
  <si>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</si>
  <si>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</si>
  <si>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</si>
  <si>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</si>
  <si>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</si>
  <si>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</si>
  <si>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</si>
  <si>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</si>
  <si>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</si>
  <si>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</si>
  <si>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</si>
  <si>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</si>
  <si>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</si>
  <si>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</si>
  <si>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</si>
  <si>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</si>
  <si>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</si>
  <si>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</si>
  <si>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</si>
  <si>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</si>
  <si>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</si>
  <si>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</si>
  <si>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</si>
  <si>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</si>
  <si>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</si>
  <si>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</si>
  <si>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</si>
  <si>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</si>
  <si>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</si>
  <si>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</si>
  <si>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</si>
  <si>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</si>
  <si>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</si>
  <si>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</si>
  <si>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</si>
  <si>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</si>
  <si>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</si>
  <si>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</si>
  <si>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</si>
  <si>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</si>
  <si>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</si>
  <si>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</si>
  <si>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</si>
  <si>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</si>
  <si>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</si>
  <si>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</si>
  <si>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</si>
  <si>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</si>
  <si>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</si>
  <si>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</si>
  <si>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</si>
  <si>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</si>
  <si>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</si>
  <si>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</si>
  <si>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</si>
  <si>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</si>
  <si>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</si>
  <si>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</si>
  <si>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</si>
  <si>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</si>
  <si>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</si>
  <si>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</si>
  <si>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</si>
  <si>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</si>
  <si>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</si>
  <si>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</si>
  <si>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</si>
  <si>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</si>
  <si>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</si>
  <si>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</si>
  <si>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</si>
  <si>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</si>
  <si>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</si>
  <si>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</si>
  <si>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</si>
  <si>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</si>
  <si>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</si>
  <si>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</si>
  <si>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</si>
  <si>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</si>
  <si>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</si>
  <si>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</si>
  <si>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</si>
  <si>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</si>
  <si>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</si>
  <si>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</si>
  <si>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</si>
  <si>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</si>
  <si>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</si>
  <si>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</si>
  <si>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</si>
  <si>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</si>
  <si>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</si>
  <si>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</si>
  <si>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</si>
  <si>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</si>
  <si>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</si>
  <si>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</si>
  <si>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</si>
  <si>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</si>
  <si>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</si>
  <si>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</si>
  <si>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</si>
  <si>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</si>
  <si>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</si>
  <si>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</si>
  <si>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</si>
  <si>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</si>
  <si>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</si>
  <si>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</si>
  <si>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</si>
  <si>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</si>
  <si>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</si>
  <si>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</si>
  <si>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</si>
  <si>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</si>
  <si>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</si>
  <si>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</si>
  <si>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</si>
  <si>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</si>
  <si>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</si>
  <si>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</si>
  <si>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</si>
  <si>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</si>
  <si>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</si>
  <si>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</si>
  <si>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</si>
  <si>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</si>
  <si>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</si>
  <si>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</si>
  <si>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</si>
  <si>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</si>
  <si>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</si>
  <si>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</si>
  <si>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</si>
  <si>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</si>
  <si>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</si>
  <si>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</si>
  <si>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</si>
  <si>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</si>
  <si>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</si>
  <si>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</si>
  <si>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</si>
  <si>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</si>
  <si>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</si>
  <si>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</si>
  <si>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</si>
  <si>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</si>
  <si>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</si>
  <si>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</si>
  <si>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</si>
  <si>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</si>
  <si>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</si>
  <si>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</si>
  <si>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</si>
  <si>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</si>
  <si>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</si>
  <si>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</si>
  <si>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</si>
  <si>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</si>
  <si>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</si>
  <si>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</si>
  <si>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</si>
  <si>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</si>
  <si>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</si>
  <si>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</si>
  <si>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</si>
  <si>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</si>
  <si>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</si>
  <si>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</si>
  <si>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</si>
  <si>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</si>
  <si>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</si>
  <si>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</si>
  <si>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</si>
  <si>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</si>
  <si>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</si>
  <si>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</si>
  <si>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</si>
  <si>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</si>
  <si>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</si>
  <si>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</si>
  <si>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</si>
  <si>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</si>
  <si>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</si>
  <si>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</si>
  <si>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</si>
  <si>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</si>
  <si>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</si>
  <si>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</si>
  <si>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</si>
  <si>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</si>
  <si>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</si>
  <si>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</si>
  <si>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</si>
  <si>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</si>
  <si>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</si>
  <si>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</si>
  <si>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</si>
  <si>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</si>
  <si>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</si>
  <si>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</si>
  <si>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</si>
  <si>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</si>
  <si>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</si>
  <si>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</si>
  <si>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</si>
  <si>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</si>
  <si>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</si>
  <si>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</si>
  <si>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</si>
  <si>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</si>
  <si>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</si>
  <si>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</si>
  <si>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</si>
  <si>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</si>
  <si>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</si>
  <si>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</si>
  <si>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</si>
  <si>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</si>
  <si>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</si>
  <si>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</si>
  <si>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</si>
  <si>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</si>
  <si>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</si>
  <si>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</si>
  <si>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</si>
  <si>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</si>
  <si>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</si>
  <si>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</si>
  <si>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</si>
  <si>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</si>
  <si>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</si>
  <si>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</si>
  <si>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</si>
  <si>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</si>
  <si>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</si>
  <si>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</si>
  <si>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</si>
  <si>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</si>
  <si>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</si>
  <si>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</si>
  <si>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</si>
  <si>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</si>
  <si>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</si>
  <si>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</si>
  <si>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</si>
  <si>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</si>
  <si>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</si>
  <si>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</si>
  <si>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</si>
  <si>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</si>
  <si>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</si>
  <si>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</si>
  <si>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</si>
  <si>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</si>
  <si>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</si>
  <si>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</si>
  <si>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</si>
  <si>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</si>
  <si>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</si>
  <si>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</si>
  <si>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</si>
  <si>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</si>
  <si>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</si>
  <si>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</si>
  <si>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</si>
  <si>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</si>
  <si>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</si>
  <si>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</si>
  <si>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</si>
  <si>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</si>
  <si>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</si>
  <si>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</si>
  <si>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</si>
  <si>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</si>
  <si>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</si>
  <si>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</si>
  <si>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</si>
  <si>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</si>
  <si>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</si>
  <si>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</si>
  <si>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</si>
  <si>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</si>
  <si>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</si>
  <si>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</si>
  <si>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</si>
  <si>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</si>
  <si>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</si>
  <si>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</si>
  <si>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</si>
  <si>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</si>
  <si>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</si>
  <si>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</si>
  <si>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</si>
  <si>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</si>
  <si>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</si>
  <si>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</si>
  <si>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</si>
  <si>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</si>
  <si>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</si>
  <si>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</si>
  <si>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</si>
  <si>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</si>
  <si>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</si>
  <si>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</si>
  <si>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</si>
  <si>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</si>
  <si>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</si>
  <si>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</si>
  <si>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</si>
  <si>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</si>
  <si>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</si>
  <si>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</si>
  <si>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</si>
  <si>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</si>
  <si>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</si>
  <si>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</si>
  <si>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</si>
  <si>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</si>
  <si>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</si>
  <si>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</si>
  <si>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</si>
  <si>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</si>
  <si>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</si>
  <si>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</si>
  <si>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</si>
  <si>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</si>
  <si>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</si>
  <si>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</si>
  <si>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</si>
  <si>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</si>
  <si>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</si>
  <si>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</si>
  <si>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</si>
  <si>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</si>
  <si>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</si>
  <si>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</si>
  <si>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</si>
  <si>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</si>
  <si>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</si>
  <si>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</si>
  <si>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</si>
  <si>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</si>
  <si>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</si>
  <si>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</si>
  <si>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</si>
  <si>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</si>
  <si>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</si>
  <si>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</si>
  <si>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</si>
  <si>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</si>
  <si>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</si>
  <si>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</si>
  <si>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</si>
  <si>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</si>
  <si>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</si>
  <si>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</si>
  <si>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</si>
  <si>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</si>
  <si>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</si>
  <si>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</si>
  <si>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</si>
  <si>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</si>
  <si>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</si>
  <si>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</si>
  <si>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</si>
  <si>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</si>
  <si>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</si>
  <si>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</si>
  <si>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</si>
  <si>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</si>
  <si>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</si>
  <si>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</si>
  <si>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</si>
  <si>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</si>
  <si>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</si>
  <si>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</si>
  <si>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</si>
  <si>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</si>
  <si>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</si>
  <si>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</si>
  <si>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</si>
  <si>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</si>
  <si>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</si>
  <si>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</si>
  <si>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</si>
  <si>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</si>
  <si>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</si>
  <si>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</si>
  <si>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</si>
  <si>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</si>
  <si>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</si>
  <si>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</si>
  <si>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</si>
  <si>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</si>
  <si>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</si>
  <si>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</si>
  <si>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</si>
  <si>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</si>
  <si>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</si>
  <si>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</si>
  <si>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</si>
  <si>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</si>
  <si>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</si>
  <si>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</si>
  <si>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</si>
  <si>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</si>
  <si>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</si>
  <si>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</si>
  <si>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</si>
  <si>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</si>
  <si>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</si>
  <si>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</si>
  <si>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</si>
  <si>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</si>
  <si>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</si>
  <si>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</si>
  <si>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</si>
  <si>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</si>
  <si>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</si>
  <si>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</si>
  <si>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</si>
  <si>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</si>
  <si>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</si>
  <si>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</si>
  <si>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</si>
  <si>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</si>
  <si>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</si>
  <si>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</si>
  <si>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</si>
  <si>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</si>
  <si>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</si>
  <si>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</si>
  <si>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</si>
  <si>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</si>
  <si>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</si>
  <si>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</si>
  <si>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</si>
  <si>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</si>
  <si>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</si>
  <si>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</si>
  <si>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</si>
  <si>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</si>
  <si>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</si>
  <si>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</si>
  <si>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</si>
  <si>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</si>
  <si>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</si>
  <si>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</si>
  <si>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</si>
  <si>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</si>
  <si>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</si>
  <si>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</si>
  <si>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</si>
  <si>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</si>
  <si>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</si>
  <si>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</si>
  <si>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</si>
  <si>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</si>
  <si>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</si>
  <si>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</si>
  <si>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</si>
  <si>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</si>
  <si>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</si>
  <si>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</si>
  <si>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</si>
  <si>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</si>
  <si>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</si>
  <si>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</si>
  <si>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</si>
  <si>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</si>
  <si>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</si>
  <si>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</si>
  <si>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</si>
  <si>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</si>
  <si>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</si>
  <si>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</si>
  <si>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</si>
  <si>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</si>
  <si>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</si>
  <si>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</si>
  <si>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</si>
  <si>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</si>
  <si>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</si>
  <si>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</si>
  <si>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</si>
  <si>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</si>
  <si>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</si>
  <si>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</si>
  <si>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</si>
  <si>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</si>
  <si>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</si>
  <si>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</si>
  <si>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</si>
  <si>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</si>
  <si>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</si>
  <si>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</si>
  <si>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</si>
  <si>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</si>
  <si>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</si>
  <si>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</si>
  <si>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</si>
  <si>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</si>
  <si>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</si>
  <si>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</si>
  <si>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</si>
  <si>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</si>
  <si>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</si>
  <si>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</si>
  <si>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</si>
  <si>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</si>
  <si>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</si>
  <si>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</si>
  <si>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</si>
  <si>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</si>
  <si>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</si>
  <si>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</si>
  <si>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</si>
  <si>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</si>
  <si>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</si>
  <si>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</si>
  <si>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</si>
  <si>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</si>
  <si>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</si>
  <si>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</si>
  <si>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</si>
  <si>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</si>
  <si>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</si>
  <si>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</si>
  <si>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</si>
  <si>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</si>
  <si>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</si>
  <si>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</si>
  <si>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</si>
  <si>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</si>
  <si>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</si>
  <si>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</si>
  <si>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</si>
  <si>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</si>
  <si>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</si>
  <si>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</si>
  <si>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</si>
  <si>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</si>
  <si>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</si>
  <si>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</si>
  <si>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</si>
  <si>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</si>
  <si>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</si>
  <si>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</si>
  <si>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</si>
  <si>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</si>
  <si>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</si>
  <si>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</si>
  <si>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</si>
  <si>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</si>
  <si>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</si>
  <si>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</si>
  <si>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</si>
  <si>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</si>
  <si>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</si>
  <si>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</si>
  <si>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</si>
  <si>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</si>
  <si>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</si>
  <si>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</si>
  <si>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</si>
  <si>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</si>
  <si>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</si>
  <si>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</si>
  <si>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</si>
  <si>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</si>
  <si>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</si>
  <si>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</si>
  <si>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</si>
  <si>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</si>
  <si>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</si>
  <si>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</si>
  <si>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</si>
  <si>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</si>
  <si>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</si>
  <si>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</si>
  <si>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</si>
  <si>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</si>
  <si>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</si>
  <si>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</si>
  <si>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</si>
  <si>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</si>
  <si>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</si>
  <si>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</si>
  <si>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</si>
  <si>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</si>
  <si>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</si>
  <si>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</si>
  <si>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</si>
  <si>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</si>
  <si>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</si>
  <si>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</si>
  <si>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</si>
  <si>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</si>
  <si>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</si>
  <si>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</si>
  <si>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</si>
  <si>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</si>
  <si>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</si>
  <si>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</si>
  <si>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</si>
  <si>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</si>
  <si>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</si>
  <si>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</si>
  <si>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</si>
  <si>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</si>
  <si>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</si>
  <si>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</si>
  <si>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</si>
  <si>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</si>
  <si>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</si>
  <si>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</si>
  <si>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</si>
  <si>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</si>
  <si>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</si>
  <si>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</si>
  <si>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</si>
  <si>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</si>
  <si>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</si>
  <si>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</si>
  <si>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</si>
  <si>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</si>
  <si>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</si>
  <si>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</si>
  <si>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</si>
  <si>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</si>
  <si>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</si>
  <si>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</si>
  <si>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</si>
  <si>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</si>
  <si>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</si>
  <si>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</si>
  <si>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</si>
  <si>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</si>
  <si>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</si>
  <si>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</si>
  <si>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</si>
  <si>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</si>
  <si>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</si>
  <si>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</si>
  <si>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</si>
  <si>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</si>
  <si>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</si>
  <si>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</si>
  <si>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</si>
  <si>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</si>
  <si>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</si>
  <si>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</si>
  <si>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</si>
  <si>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</si>
  <si>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</si>
  <si>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</si>
  <si>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</si>
  <si>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</si>
  <si>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</si>
  <si>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</si>
  <si>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</si>
  <si>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</si>
  <si>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</si>
  <si>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</si>
  <si>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</si>
  <si>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</si>
  <si>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</si>
  <si>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</si>
  <si>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</si>
  <si>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</si>
  <si>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</si>
  <si>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</si>
  <si>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</si>
  <si>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</si>
  <si>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</si>
  <si>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</si>
  <si>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</si>
  <si>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</si>
  <si>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</si>
  <si>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</si>
  <si>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</si>
  <si>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</si>
  <si>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</si>
  <si>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</si>
  <si>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</si>
  <si>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</si>
  <si>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</si>
  <si>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</si>
  <si>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</si>
  <si>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</si>
  <si>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</si>
  <si>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</si>
  <si>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</si>
  <si>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</si>
  <si>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</si>
  <si>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</si>
  <si>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</si>
  <si>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</si>
  <si>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</si>
  <si>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</si>
  <si>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</si>
  <si>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</si>
  <si>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</si>
  <si>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</si>
  <si>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</si>
  <si>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</si>
  <si>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</si>
  <si>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</si>
  <si>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</si>
  <si>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</si>
  <si>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</si>
  <si>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</si>
  <si>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</si>
  <si>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</si>
  <si>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</si>
  <si>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</si>
  <si>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</si>
  <si>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</si>
  <si>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</si>
  <si>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</si>
  <si>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</si>
  <si>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</si>
  <si>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</si>
  <si>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</si>
  <si>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</si>
  <si>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</si>
  <si>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</si>
  <si>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</si>
  <si>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</si>
  <si>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</si>
  <si>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</si>
  <si>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</si>
  <si>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</si>
  <si>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</si>
  <si>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</si>
  <si>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</si>
  <si>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</si>
  <si>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</si>
  <si>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</si>
  <si>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</si>
  <si>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</si>
  <si>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</si>
  <si>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</si>
  <si>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</si>
  <si>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</si>
  <si>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</si>
  <si>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</si>
  <si>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</si>
  <si>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</si>
  <si>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</si>
  <si>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</si>
  <si>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</si>
  <si>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</si>
  <si>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</si>
  <si>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</si>
  <si>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</si>
  <si>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</si>
  <si>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</si>
  <si>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</si>
  <si>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</si>
  <si>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</si>
  <si>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</si>
  <si>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</si>
  <si>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</si>
  <si>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</si>
  <si>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</si>
  <si>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</si>
  <si>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</si>
  <si>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</si>
  <si>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</si>
  <si>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</si>
  <si>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</si>
  <si>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</si>
  <si>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</si>
  <si>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</si>
  <si>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</si>
  <si>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</si>
  <si>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</si>
  <si>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</si>
  <si>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</si>
  <si>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</si>
  <si>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</si>
  <si>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</si>
  <si>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</si>
  <si>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</si>
  <si>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</si>
  <si>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</si>
  <si>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</si>
  <si>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</si>
  <si>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</si>
  <si>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</si>
  <si>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</si>
  <si>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</si>
  <si>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</si>
  <si>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</si>
  <si>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</si>
  <si>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</si>
  <si>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</si>
  <si>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</si>
  <si>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</si>
  <si>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</si>
  <si>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</si>
  <si>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</si>
  <si>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</si>
  <si>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</si>
  <si>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</si>
  <si>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</si>
  <si>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</si>
  <si>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</si>
  <si>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</si>
  <si>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</si>
  <si>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</si>
  <si>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</si>
  <si>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</si>
  <si>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</si>
  <si>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</si>
  <si>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</si>
  <si>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</si>
  <si>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</si>
  <si>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</si>
  <si>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</si>
  <si>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</si>
  <si>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</si>
  <si>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</si>
  <si>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</si>
  <si>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</si>
  <si>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</si>
  <si>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</si>
  <si>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</si>
  <si>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</si>
  <si>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</si>
  <si>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</si>
  <si>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</si>
  <si>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</si>
  <si>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</si>
  <si>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</si>
  <si>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</si>
  <si>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</si>
  <si>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</si>
  <si>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</si>
  <si>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</si>
  <si>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</si>
  <si>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</si>
  <si>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</si>
  <si>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</si>
  <si>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</si>
  <si>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</si>
  <si>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</si>
  <si>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</si>
  <si>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</si>
  <si>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</si>
  <si>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</si>
  <si>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</si>
  <si>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</si>
  <si>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</si>
  <si>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</si>
  <si>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</si>
  <si>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</si>
  <si>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</si>
  <si>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</si>
  <si>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</si>
  <si>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</si>
  <si>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</si>
  <si>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</si>
  <si>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</si>
  <si>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</si>
  <si>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</si>
  <si>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</si>
  <si>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</si>
  <si>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</si>
  <si>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</si>
  <si>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</si>
  <si>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</si>
  <si>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</si>
  <si>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</si>
  <si>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</si>
  <si>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</si>
  <si>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</si>
  <si>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</si>
  <si>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</si>
  <si>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</si>
  <si>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</si>
  <si>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</si>
  <si>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</si>
  <si>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</si>
  <si>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</si>
  <si>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</si>
  <si>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</si>
  <si>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</si>
  <si>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</si>
  <si>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</si>
  <si>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</si>
  <si>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</si>
  <si>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</si>
  <si>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</si>
  <si>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</si>
  <si>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</si>
  <si>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</si>
  <si>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</si>
  <si>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</si>
  <si>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</si>
  <si>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</si>
  <si>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</si>
  <si>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</si>
  <si>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</si>
  <si>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</si>
  <si>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</si>
  <si>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</si>
  <si>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</si>
  <si>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</si>
  <si>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</si>
  <si>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</si>
  <si>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</si>
  <si>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</si>
  <si>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</si>
  <si>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</si>
  <si>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</si>
  <si>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</si>
  <si>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</si>
  <si>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</si>
  <si>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</si>
  <si>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</si>
  <si>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</si>
  <si>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</si>
  <si>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</si>
  <si>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</si>
  <si>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</si>
  <si>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</si>
  <si>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</si>
  <si>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</si>
  <si>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</si>
  <si>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</si>
  <si>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</si>
  <si>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</si>
  <si>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</si>
  <si>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</si>
  <si>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</si>
  <si>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</si>
  <si>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</si>
  <si>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</si>
  <si>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</si>
  <si>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</si>
  <si>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</si>
  <si>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</si>
  <si>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</si>
  <si>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</si>
  <si>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</si>
  <si>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</si>
  <si>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</si>
  <si>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</si>
  <si>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</si>
  <si>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</si>
  <si>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</si>
  <si>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</si>
  <si>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</si>
  <si>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</si>
  <si>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</si>
  <si>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</si>
  <si>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</si>
  <si>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</si>
  <si>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</si>
  <si>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</si>
  <si>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</si>
  <si>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</si>
  <si>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</si>
  <si>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</si>
  <si>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</si>
  <si>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</si>
  <si>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</si>
  <si>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</si>
  <si>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</si>
  <si>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</si>
  <si>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</si>
  <si>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</si>
  <si>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</si>
  <si>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</si>
  <si>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</si>
  <si>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</si>
  <si>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</si>
  <si>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</si>
  <si>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</si>
  <si>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</si>
  <si>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</si>
  <si>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</si>
  <si>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</si>
  <si>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</si>
  <si>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</si>
  <si>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</si>
  <si>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</si>
  <si>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</si>
  <si>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</si>
  <si>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</si>
  <si>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</si>
  <si>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</si>
  <si>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</si>
  <si>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</si>
  <si>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</si>
  <si>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</si>
  <si>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</si>
  <si>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</si>
  <si>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</si>
  <si>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</si>
  <si>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</si>
  <si>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</si>
  <si>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</si>
  <si>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</si>
  <si>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</si>
  <si>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</si>
  <si>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</si>
  <si>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</si>
  <si>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</si>
  <si>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</si>
  <si>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</si>
  <si>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</si>
  <si>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</si>
  <si>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</si>
  <si>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</si>
  <si>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</si>
  <si>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</si>
  <si>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</si>
  <si>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</si>
  <si>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</si>
  <si>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</si>
  <si>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</si>
  <si>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</si>
  <si>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</si>
  <si>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</si>
  <si>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</si>
  <si>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</si>
  <si>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</si>
  <si>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</si>
  <si>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</si>
  <si>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</si>
  <si>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</si>
  <si>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</si>
  <si>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</si>
  <si>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</si>
  <si>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</si>
  <si>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</si>
  <si>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</si>
  <si>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</si>
  <si>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</si>
  <si>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</si>
  <si>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</si>
  <si>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</si>
  <si>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</si>
  <si>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</si>
  <si>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</si>
  <si>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</si>
  <si>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</si>
  <si>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</si>
  <si>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</si>
  <si>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</si>
  <si>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</si>
  <si>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</si>
  <si>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</si>
  <si>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</si>
  <si>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</si>
  <si>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</si>
  <si>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</si>
  <si>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</si>
  <si>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</si>
  <si>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</si>
  <si>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</si>
  <si>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</si>
  <si>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</si>
  <si>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</si>
  <si>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</si>
  <si>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</si>
  <si>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</si>
  <si>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</si>
  <si>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</si>
  <si>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</si>
  <si>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</si>
  <si>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</si>
  <si>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</si>
  <si>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</si>
  <si>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</si>
  <si>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</si>
  <si>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</si>
  <si>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</si>
  <si>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</si>
  <si>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</si>
  <si>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</si>
  <si>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</si>
  <si>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</si>
  <si>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</si>
  <si>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</si>
  <si>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</si>
  <si>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</si>
  <si>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</si>
  <si>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</si>
  <si>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</si>
  <si>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</si>
  <si>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</si>
  <si>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</si>
  <si>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</si>
  <si>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</si>
  <si>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</si>
  <si>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</si>
  <si>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</si>
  <si>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</si>
  <si>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</si>
  <si>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</si>
  <si>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</si>
  <si>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</si>
  <si>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</si>
  <si>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</si>
  <si>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</si>
  <si>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</si>
  <si>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</si>
  <si>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</si>
  <si>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</si>
  <si>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</si>
  <si>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</si>
  <si>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</si>
  <si>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</si>
  <si>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</si>
  <si>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</si>
  <si>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</si>
  <si>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</si>
  <si>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</si>
  <si>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</si>
  <si>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</si>
  <si>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</si>
  <si>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</si>
  <si>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</si>
  <si>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</si>
  <si>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</si>
  <si>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</si>
  <si>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</si>
  <si>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</si>
  <si>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</si>
  <si>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</si>
  <si>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</si>
  <si>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</si>
  <si>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</si>
  <si>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</si>
  <si>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</si>
  <si>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</si>
  <si>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</si>
  <si>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</si>
  <si>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</si>
  <si>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</si>
  <si>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</si>
  <si>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</si>
  <si>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</si>
  <si>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</si>
  <si>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</si>
  <si>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</si>
  <si>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</si>
  <si>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</si>
  <si>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</si>
  <si>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</si>
  <si>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</si>
  <si>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</si>
  <si>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</si>
  <si>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</si>
  <si>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</si>
  <si>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</si>
  <si>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</si>
  <si>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</si>
  <si>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</si>
  <si>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</si>
  <si>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</si>
  <si>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</si>
  <si>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</si>
  <si>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</si>
  <si>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</si>
  <si>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</si>
  <si>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</si>
  <si>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</si>
  <si>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</si>
  <si>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</si>
  <si>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</si>
  <si>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</si>
  <si>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</si>
  <si>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</si>
  <si>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</si>
  <si>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</si>
  <si>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</si>
  <si>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</si>
  <si>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</si>
  <si>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</si>
  <si>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</si>
  <si>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</si>
  <si>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</si>
  <si>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</si>
  <si>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</si>
  <si>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</si>
  <si>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</si>
  <si>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</si>
  <si>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</si>
  <si>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</si>
  <si>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</si>
  <si>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</si>
  <si>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</si>
  <si>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</si>
  <si>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</si>
  <si>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</si>
  <si>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</si>
  <si>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</si>
  <si>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</si>
  <si>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</si>
  <si>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</si>
  <si>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</si>
  <si>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</si>
  <si>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</si>
  <si>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</si>
  <si>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</si>
  <si>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</si>
  <si>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</si>
  <si>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</si>
  <si>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</si>
  <si>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</si>
  <si>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</si>
  <si>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</si>
  <si>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</si>
  <si>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</si>
  <si>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</si>
  <si>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</si>
  <si>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</si>
  <si>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</si>
  <si>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</si>
  <si>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</si>
  <si>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</si>
  <si>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</si>
  <si>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</si>
  <si>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</si>
  <si>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</si>
  <si>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</si>
  <si>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</si>
  <si>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</si>
  <si>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</si>
  <si>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</si>
  <si>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</si>
  <si>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</si>
  <si>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</si>
  <si>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</si>
  <si>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</si>
  <si>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</si>
  <si>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</si>
  <si>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</si>
  <si>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</si>
  <si>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</si>
  <si>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</si>
  <si>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</si>
  <si>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</si>
  <si>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</si>
  <si>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</si>
  <si>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</si>
  <si>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</si>
  <si>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</si>
  <si>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</si>
  <si>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</si>
  <si>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</si>
  <si>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</si>
  <si>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</si>
  <si>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</si>
  <si>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</si>
  <si>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</si>
  <si>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</si>
  <si>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</si>
  <si>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</si>
  <si>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</si>
  <si>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</si>
  <si>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</si>
  <si>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</si>
  <si>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</si>
  <si>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</si>
  <si>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</si>
  <si>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</si>
  <si>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</si>
  <si>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</si>
  <si>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</si>
  <si>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</si>
  <si>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</si>
  <si>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</si>
  <si>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</si>
  <si>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</si>
  <si>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</si>
  <si>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</si>
  <si>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</si>
  <si>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</si>
  <si>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</si>
  <si>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</si>
  <si>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</si>
  <si>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</si>
  <si>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</si>
  <si>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</si>
  <si>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</si>
  <si>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</si>
  <si>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</si>
  <si>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</si>
  <si>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</si>
  <si>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</si>
  <si>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</si>
  <si>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</si>
  <si>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</si>
  <si>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</si>
  <si>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</si>
  <si>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</si>
  <si>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</si>
  <si>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</si>
  <si>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</si>
  <si>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</si>
  <si>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</si>
  <si>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</si>
  <si>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</si>
  <si>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</si>
  <si>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</si>
  <si>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</si>
  <si>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</si>
  <si>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</si>
  <si>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</si>
  <si>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</si>
  <si>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</si>
  <si>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</si>
  <si>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</si>
  <si>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</si>
  <si>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</si>
  <si>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</si>
  <si>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</si>
  <si>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</si>
  <si>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</si>
  <si>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</si>
  <si>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</si>
  <si>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</si>
  <si>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</si>
  <si>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</si>
  <si>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</si>
  <si>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</si>
  <si>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</si>
  <si>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</si>
  <si>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</si>
  <si>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</si>
  <si>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</si>
  <si>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</si>
  <si>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</si>
  <si>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</si>
  <si>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</si>
  <si>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</si>
  <si>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</si>
  <si>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</si>
  <si>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</si>
  <si>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</si>
  <si>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</si>
  <si>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</si>
  <si>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</si>
  <si>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</si>
  <si>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</si>
  <si>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</si>
  <si>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</si>
  <si>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</si>
  <si>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</si>
  <si>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</si>
  <si>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</si>
  <si>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</si>
  <si>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</si>
  <si>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</si>
  <si>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</si>
  <si>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</si>
  <si>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</si>
  <si>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</si>
  <si>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</si>
  <si>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</si>
  <si>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</si>
  <si>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</si>
  <si>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</si>
  <si>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</si>
  <si>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</si>
  <si>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</si>
  <si>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</si>
  <si>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</si>
  <si>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</si>
  <si>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</si>
  <si>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</si>
  <si>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</si>
  <si>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</si>
  <si>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</si>
  <si>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</si>
  <si>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</si>
  <si>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</si>
  <si>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</si>
  <si>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</si>
  <si>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</si>
  <si>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</si>
  <si>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</si>
  <si>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</si>
  <si>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</si>
  <si>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</si>
  <si>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</si>
  <si>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</si>
  <si>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</si>
  <si>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</si>
  <si>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</si>
  <si>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</si>
  <si>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</si>
  <si>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</si>
  <si>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</si>
  <si>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</si>
  <si>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</si>
  <si>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</si>
  <si>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</si>
  <si>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</si>
  <si>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</si>
  <si>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</si>
  <si>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</si>
  <si>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</si>
  <si>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</si>
  <si>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</si>
  <si>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</si>
  <si>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</si>
  <si>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</si>
  <si>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</si>
  <si>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</si>
  <si>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</si>
  <si>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</si>
  <si>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</si>
  <si>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</si>
  <si>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</si>
  <si>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</si>
  <si>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</si>
  <si>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</si>
  <si>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</si>
  <si>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</si>
  <si>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</si>
  <si>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</si>
  <si>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</si>
  <si>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</si>
  <si>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</si>
  <si>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</si>
  <si>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</si>
  <si>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</si>
  <si>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</si>
  <si>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</si>
  <si>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</si>
  <si>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</si>
  <si>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</si>
  <si>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</si>
  <si>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</si>
  <si>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</si>
  <si>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</si>
  <si>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</si>
  <si>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</si>
  <si>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</si>
  <si>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</si>
  <si>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</si>
  <si>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</si>
  <si>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</si>
  <si>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</si>
  <si>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</si>
  <si>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</si>
  <si>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</si>
  <si>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</si>
  <si>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</si>
  <si>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</si>
  <si>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</si>
  <si>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</si>
  <si>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</si>
  <si>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</si>
  <si>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</si>
  <si>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</si>
  <si>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</si>
  <si>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</si>
  <si>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</si>
  <si>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</si>
  <si>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</si>
  <si>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</si>
  <si>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</si>
  <si>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</si>
  <si>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</si>
  <si>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</si>
  <si>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</si>
  <si>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</si>
  <si>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</si>
  <si>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</si>
  <si>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</si>
  <si>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</si>
  <si>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</si>
  <si>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</si>
  <si>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</si>
  <si>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</si>
  <si>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</si>
  <si>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</si>
  <si>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</si>
  <si>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</si>
  <si>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</si>
  <si>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</si>
  <si>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</si>
  <si>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</si>
  <si>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</si>
  <si>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</si>
  <si>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</si>
  <si>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</si>
  <si>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</si>
  <si>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</si>
  <si>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</si>
  <si>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</si>
  <si>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</si>
  <si>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</si>
  <si>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</si>
  <si>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</si>
  <si>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</si>
  <si>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</si>
  <si>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</si>
  <si>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</si>
  <si>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</si>
  <si>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</si>
  <si>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</si>
  <si>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</si>
  <si>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</si>
  <si>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</si>
  <si>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</si>
  <si>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</si>
  <si>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</si>
  <si>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</si>
  <si>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</si>
  <si>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</si>
  <si>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</si>
  <si>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</si>
  <si>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</si>
  <si>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</si>
  <si>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</si>
  <si>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</si>
  <si>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</si>
  <si>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</si>
  <si>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</si>
  <si>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</si>
  <si>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</si>
  <si>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</si>
  <si>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</si>
  <si>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</si>
  <si>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</si>
  <si>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</si>
  <si>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</si>
  <si>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</si>
  <si>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</si>
  <si>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</si>
  <si>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</si>
  <si>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</si>
  <si>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</si>
  <si>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</si>
  <si>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</si>
  <si>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</si>
  <si>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</si>
  <si>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</si>
  <si>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</si>
  <si>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</si>
  <si>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</si>
  <si>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</si>
  <si>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</si>
  <si>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</si>
  <si>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</si>
  <si>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</si>
  <si>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</si>
  <si>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</si>
  <si>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</si>
  <si>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</si>
  <si>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</si>
  <si>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</si>
  <si>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</si>
  <si>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</si>
  <si>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</si>
  <si>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</si>
  <si>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</si>
  <si>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</si>
  <si>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</si>
  <si>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</si>
  <si>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</si>
  <si>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</si>
  <si>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</si>
  <si>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</si>
  <si>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</si>
  <si>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</si>
  <si>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</si>
  <si>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</si>
  <si>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</si>
  <si>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</si>
  <si>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</si>
  <si>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</si>
  <si>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</si>
  <si>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</si>
  <si>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</si>
  <si>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</si>
  <si>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</si>
  <si>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</si>
  <si>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</si>
  <si>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</si>
  <si>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</si>
  <si>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</si>
  <si>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</si>
  <si>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</si>
  <si>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</si>
  <si>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</si>
  <si>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</si>
  <si>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</si>
  <si>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</si>
  <si>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</si>
  <si>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</si>
  <si>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</si>
  <si>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</si>
  <si>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</si>
  <si>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</si>
  <si>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</si>
  <si>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</si>
  <si>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</si>
  <si>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</si>
  <si>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</si>
  <si>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</si>
  <si>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</si>
  <si>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</si>
  <si>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</si>
  <si>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</si>
  <si>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</si>
  <si>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</si>
  <si>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</si>
  <si>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</si>
  <si>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</si>
  <si>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</si>
  <si>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</si>
  <si>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</si>
  <si>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</si>
  <si>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</si>
  <si>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</si>
  <si>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</si>
  <si>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</si>
  <si>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</si>
  <si>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</si>
  <si>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</si>
  <si>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</si>
  <si>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</si>
  <si>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</si>
  <si>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</si>
  <si>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</si>
  <si>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</si>
  <si>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</si>
  <si>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</si>
  <si>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</si>
  <si>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</si>
  <si>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</si>
  <si>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</si>
  <si>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</si>
  <si>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</si>
  <si>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</si>
  <si>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</si>
  <si>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</si>
  <si>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</si>
  <si>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</si>
  <si>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</si>
  <si>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</si>
  <si>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</si>
  <si>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</si>
  <si>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</si>
  <si>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</si>
  <si>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</si>
  <si>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</si>
  <si>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</si>
  <si>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</si>
  <si>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</si>
  <si>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</si>
  <si>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</si>
  <si>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</si>
  <si>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</si>
  <si>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</si>
  <si>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</si>
  <si>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</si>
  <si>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</si>
  <si>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</si>
  <si>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</si>
  <si>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</si>
  <si>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</si>
  <si>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</si>
  <si>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</si>
  <si>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</si>
  <si>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</si>
  <si>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</si>
  <si>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</si>
  <si>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</si>
  <si>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</si>
  <si>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</si>
  <si>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</si>
  <si>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</si>
  <si>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</si>
  <si>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</si>
  <si>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</si>
  <si>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</si>
  <si>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</si>
  <si>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</si>
  <si>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</si>
  <si>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</si>
  <si>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</si>
  <si>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</si>
  <si>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</si>
  <si>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</si>
  <si>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</si>
  <si>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</si>
  <si>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</si>
  <si>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</si>
  <si>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</si>
  <si>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</si>
  <si>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</si>
  <si>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</si>
  <si>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</si>
  <si>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</si>
  <si>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</si>
  <si>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</si>
  <si>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</si>
  <si>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</si>
  <si>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</si>
  <si>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</si>
  <si>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</si>
  <si>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</si>
  <si>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</si>
  <si>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</si>
  <si>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</si>
  <si>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</si>
  <si>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</si>
  <si>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</si>
  <si>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</si>
  <si>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</si>
  <si>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</si>
  <si>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</si>
  <si>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</si>
  <si>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</si>
  <si>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</si>
  <si>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</si>
  <si>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</si>
  <si>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</si>
  <si>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</si>
  <si>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</si>
  <si>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</si>
  <si>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</si>
  <si>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</si>
  <si>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</si>
  <si>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</si>
  <si>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</si>
  <si>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</si>
  <si>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</si>
  <si>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</si>
  <si>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</si>
  <si>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</si>
  <si>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</si>
  <si>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</si>
  <si>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</si>
  <si>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</si>
  <si>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</si>
  <si>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</si>
  <si>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</si>
  <si>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</si>
  <si>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</si>
  <si>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</si>
  <si>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</si>
  <si>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</si>
  <si>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</si>
  <si>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</si>
  <si>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</si>
  <si>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</si>
  <si>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</si>
  <si>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</si>
  <si>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</si>
  <si>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</si>
  <si>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</si>
  <si>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</si>
  <si>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</si>
  <si>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</si>
  <si>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</si>
  <si>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</si>
  <si>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</si>
  <si>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</si>
  <si>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</si>
  <si>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</si>
  <si>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</si>
  <si>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</si>
  <si>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</si>
  <si>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</si>
  <si>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</si>
  <si>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</si>
  <si>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</si>
  <si>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</si>
  <si>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</si>
  <si>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</si>
  <si>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</si>
  <si>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</si>
  <si>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</si>
  <si>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</si>
  <si>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</si>
  <si>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</si>
  <si>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</si>
  <si>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</si>
  <si>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</si>
  <si>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</si>
  <si>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</si>
  <si>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</si>
  <si>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</si>
  <si>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</si>
  <si>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</si>
  <si>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</si>
  <si>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</si>
  <si>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</si>
  <si>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</si>
  <si>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</si>
  <si>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</si>
  <si>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</si>
  <si>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</si>
  <si>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</si>
  <si>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</si>
  <si>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</si>
  <si>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</si>
  <si>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</si>
  <si>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</si>
  <si>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</si>
  <si>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</si>
  <si>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</si>
  <si>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</si>
  <si>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</si>
  <si>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</si>
  <si>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</si>
  <si>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</si>
  <si>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</si>
  <si>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</si>
  <si>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</si>
  <si>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</si>
  <si>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</si>
  <si>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</si>
  <si>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</si>
  <si>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</si>
  <si>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</si>
  <si>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</si>
  <si>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</si>
  <si>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</si>
  <si>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</si>
  <si>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</si>
  <si>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</si>
  <si>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</si>
  <si>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</si>
  <si>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</si>
  <si>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</si>
  <si>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</si>
  <si>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</si>
  <si>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</si>
  <si>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</si>
  <si>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</si>
  <si>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</si>
  <si>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</si>
  <si>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</si>
  <si>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</si>
  <si>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</si>
  <si>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</si>
  <si>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</si>
  <si>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</si>
  <si>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</si>
  <si>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</si>
  <si>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</si>
  <si>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</si>
  <si>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</si>
  <si>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</si>
  <si>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</si>
  <si>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</si>
  <si>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</si>
  <si>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</si>
  <si>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</si>
  <si>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</si>
  <si>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</si>
  <si>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</si>
  <si>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</si>
  <si>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</si>
  <si>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</si>
  <si>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</si>
  <si>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</si>
  <si>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</si>
  <si>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</si>
  <si>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</si>
  <si>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</si>
  <si>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</si>
  <si>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</si>
  <si>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</si>
  <si>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</si>
  <si>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</si>
  <si>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</si>
  <si>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</si>
  <si>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</si>
  <si>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</si>
  <si>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</si>
  <si>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</si>
  <si>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</si>
  <si>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</si>
  <si>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</si>
  <si>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</si>
  <si>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</si>
  <si>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</si>
  <si>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</si>
  <si>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</si>
  <si>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</si>
  <si>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</si>
  <si>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</si>
  <si>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</si>
  <si>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</si>
  <si>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</si>
  <si>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</si>
  <si>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</si>
  <si>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</si>
  <si>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</si>
  <si>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</si>
  <si>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</si>
  <si>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</si>
  <si>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</si>
  <si>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</si>
  <si>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</si>
  <si>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</si>
  <si>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</si>
  <si>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</si>
  <si>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</si>
  <si>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</si>
  <si>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</si>
  <si>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</si>
  <si>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</si>
  <si>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</si>
  <si>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</si>
  <si>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</si>
  <si>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</si>
  <si>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</si>
  <si>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</si>
  <si>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</si>
  <si>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</si>
  <si>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</si>
  <si>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</si>
  <si>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</si>
  <si>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</si>
  <si>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</si>
  <si>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</si>
  <si>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</si>
  <si>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</si>
  <si>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</si>
  <si>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</si>
  <si>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</si>
  <si>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</si>
  <si>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</si>
  <si>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</si>
  <si>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</si>
  <si>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</si>
  <si>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</si>
  <si>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</si>
  <si>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</si>
  <si>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</si>
  <si>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</si>
  <si>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</si>
  <si>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</si>
  <si>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</si>
  <si>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</si>
  <si>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</si>
  <si>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</si>
  <si>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</si>
  <si>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</si>
  <si>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</si>
  <si>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</si>
  <si>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</si>
  <si>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</si>
  <si>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</si>
  <si>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</si>
  <si>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</si>
  <si>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</si>
  <si>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</si>
  <si>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</si>
  <si>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</si>
  <si>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</si>
  <si>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</si>
  <si>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</si>
  <si>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</si>
  <si>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</si>
  <si>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</si>
  <si>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</si>
  <si>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</si>
  <si>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</si>
  <si>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</si>
  <si>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</si>
  <si>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</si>
  <si>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</si>
  <si>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</si>
  <si>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</si>
  <si>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</si>
  <si>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</si>
  <si>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</si>
  <si>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</si>
  <si>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</si>
  <si>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</si>
  <si>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</si>
  <si>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</si>
  <si>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</si>
  <si>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</si>
  <si>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</si>
  <si>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</si>
  <si>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</si>
  <si>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</si>
  <si>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</si>
  <si>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</si>
  <si>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</si>
  <si>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</si>
  <si>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</si>
  <si>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</si>
  <si>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</si>
  <si>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</si>
  <si>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</si>
  <si>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</si>
  <si>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</si>
  <si>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</si>
  <si>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</si>
  <si>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</si>
  <si>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</si>
  <si>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</si>
  <si>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</si>
  <si>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</si>
  <si>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</si>
  <si>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</si>
  <si>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</si>
  <si>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</si>
  <si>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</si>
  <si>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</si>
  <si>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</si>
  <si>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</si>
  <si>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</si>
  <si>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</si>
  <si>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</si>
  <si>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</si>
  <si>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</si>
  <si>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</si>
  <si>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</si>
  <si>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</si>
  <si>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</si>
  <si>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</si>
  <si>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</si>
  <si>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</si>
  <si>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</si>
  <si>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</si>
  <si>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</si>
  <si>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</si>
  <si>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</si>
  <si>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</si>
  <si>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</si>
  <si>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</si>
  <si>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</si>
  <si>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</si>
  <si>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</si>
  <si>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</si>
  <si>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</si>
  <si>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</si>
  <si>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</si>
  <si>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</si>
  <si>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</si>
  <si>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</si>
  <si>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</si>
  <si>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</si>
  <si>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</si>
  <si>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</si>
  <si>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</si>
  <si>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</si>
  <si>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</si>
  <si>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</si>
  <si>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</si>
  <si>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</si>
  <si>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</si>
  <si>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</si>
  <si>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</si>
  <si>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</si>
  <si>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</si>
  <si>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</si>
  <si>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</si>
  <si>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</si>
  <si>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</si>
  <si>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</si>
  <si>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</si>
  <si>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</si>
  <si>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</si>
  <si>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</si>
  <si>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</si>
  <si>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</si>
  <si>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</si>
  <si>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</si>
  <si>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</si>
  <si>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</si>
  <si>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</si>
  <si>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</si>
  <si>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</si>
  <si>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</si>
  <si>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</si>
  <si>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</si>
  <si>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</si>
  <si>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</si>
  <si>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</si>
  <si>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</si>
  <si>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</si>
  <si>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</si>
  <si>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</si>
  <si>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</si>
  <si>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</si>
  <si>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</si>
  <si>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</si>
  <si>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</si>
  <si>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</si>
  <si>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</si>
  <si>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</si>
  <si>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</si>
  <si>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</si>
  <si>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</si>
  <si>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</si>
  <si>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</si>
  <si>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</si>
  <si>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</si>
  <si>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</si>
  <si>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</si>
  <si>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</si>
  <si>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</si>
  <si>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</si>
  <si>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</si>
  <si>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</si>
  <si>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</si>
  <si>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</si>
  <si>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</si>
  <si>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</si>
  <si>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</si>
  <si>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</si>
  <si>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</si>
  <si>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</si>
  <si>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</si>
  <si>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</si>
  <si>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</si>
  <si>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</si>
  <si>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</si>
  <si>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</si>
  <si>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</si>
  <si>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</si>
  <si>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</si>
  <si>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</si>
  <si>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</si>
  <si>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</si>
  <si>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</si>
  <si>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</si>
  <si>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</si>
  <si>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</si>
  <si>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</si>
  <si>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</si>
  <si>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</si>
  <si>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</si>
  <si>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</si>
  <si>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</si>
  <si>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</si>
  <si>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</si>
  <si>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</si>
  <si>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</si>
  <si>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</si>
  <si>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</si>
  <si>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</si>
  <si>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</si>
  <si>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</si>
  <si>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</si>
  <si>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</si>
  <si>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</si>
  <si>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</si>
  <si>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</si>
  <si>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</si>
  <si>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</si>
  <si>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</si>
  <si>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</si>
  <si>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</si>
  <si>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</si>
  <si>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</si>
  <si>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</si>
  <si>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</si>
  <si>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</si>
  <si>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</si>
  <si>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</si>
  <si>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</si>
  <si>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</si>
  <si>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</si>
  <si>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</si>
  <si>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</si>
  <si>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</si>
  <si>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</si>
  <si>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</si>
  <si>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</si>
  <si>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</si>
  <si>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</si>
  <si>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</si>
  <si>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</si>
  <si>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</si>
  <si>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</si>
  <si>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</si>
  <si>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</si>
  <si>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</si>
  <si>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</si>
  <si>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</si>
  <si>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</si>
  <si>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</si>
  <si>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</si>
  <si>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</si>
  <si>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</si>
  <si>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</si>
  <si>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</si>
  <si>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</si>
  <si>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</si>
  <si>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</si>
  <si>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</si>
  <si>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</si>
  <si>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</si>
  <si>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</si>
  <si>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</si>
  <si>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</si>
  <si>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</si>
  <si>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</si>
  <si>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</si>
  <si>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</si>
  <si>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</si>
  <si>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</si>
  <si>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</si>
  <si>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</si>
  <si>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</si>
  <si>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</si>
  <si>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</si>
  <si>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</si>
  <si>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</si>
  <si>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</si>
  <si>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</si>
  <si>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</si>
  <si>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</si>
  <si>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</si>
  <si>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</si>
  <si>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</si>
  <si>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</si>
  <si>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</si>
  <si>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</si>
  <si>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</si>
  <si>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</si>
  <si>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</si>
  <si>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</si>
  <si>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</si>
  <si>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</si>
  <si>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</si>
  <si>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</si>
  <si>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</si>
  <si>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</si>
  <si>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</si>
  <si>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</si>
  <si>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</si>
  <si>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</si>
  <si>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</si>
  <si>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</si>
  <si>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</si>
  <si>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</si>
  <si>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</si>
  <si>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</si>
  <si>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</si>
  <si>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</si>
  <si>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</si>
  <si>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</si>
  <si>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</si>
  <si>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</si>
  <si>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</si>
  <si>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</si>
  <si>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</si>
  <si>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</si>
  <si>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</si>
  <si>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</si>
  <si>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</si>
  <si>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</si>
  <si>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</si>
  <si>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</si>
  <si>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</si>
  <si>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</si>
  <si>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</si>
  <si>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</si>
  <si>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</si>
  <si>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</si>
  <si>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</si>
  <si>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</si>
  <si>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</si>
  <si>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</si>
  <si>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</si>
  <si>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</si>
  <si>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</si>
  <si>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</si>
  <si>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</si>
  <si>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</si>
  <si>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</si>
  <si>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</si>
  <si>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</si>
  <si>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</si>
  <si>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</si>
  <si>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</si>
  <si>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</si>
  <si>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</si>
  <si>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</si>
  <si>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</si>
  <si>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</si>
  <si>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</si>
  <si>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</si>
  <si>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</si>
  <si>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</si>
  <si>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</si>
  <si>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</si>
  <si>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</si>
  <si>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</si>
  <si>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</si>
  <si>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</si>
  <si>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</si>
  <si>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</si>
  <si>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</si>
  <si>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</si>
  <si>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</si>
  <si>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</si>
  <si>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</si>
  <si>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</si>
  <si>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</si>
  <si>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</si>
  <si>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</si>
  <si>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</si>
  <si>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</si>
  <si>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</si>
  <si>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</si>
  <si>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</si>
  <si>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</si>
  <si>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</si>
  <si>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</si>
  <si>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</si>
  <si>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</si>
  <si>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</si>
  <si>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</si>
  <si>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</si>
  <si>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</si>
  <si>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</si>
  <si>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</si>
  <si>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</si>
  <si>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</si>
  <si>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</si>
  <si>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</si>
  <si>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</si>
  <si>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</si>
  <si>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</si>
  <si>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</si>
  <si>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</si>
  <si>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</si>
  <si>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</si>
  <si>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</si>
  <si>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</si>
  <si>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</si>
  <si>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</si>
  <si>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</si>
  <si>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</si>
  <si>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</si>
  <si>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</si>
  <si>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</si>
  <si>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</si>
  <si>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</si>
  <si>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</si>
  <si>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</si>
  <si>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</si>
  <si>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</si>
  <si>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</si>
  <si>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</si>
  <si>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</si>
  <si>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</si>
  <si>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</si>
  <si>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</si>
  <si>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</si>
  <si>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</si>
  <si>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</si>
  <si>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</si>
  <si>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</si>
  <si>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</si>
  <si>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</si>
  <si>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</si>
  <si>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</si>
  <si>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</si>
  <si>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</si>
  <si>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</si>
  <si>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</si>
  <si>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</si>
  <si>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</si>
  <si>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</si>
  <si>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</si>
  <si>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</si>
  <si>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</si>
  <si>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</si>
  <si>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</si>
  <si>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</si>
  <si>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</si>
  <si>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</si>
  <si>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</si>
  <si>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</si>
  <si>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</si>
  <si>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</si>
  <si>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</si>
  <si>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</si>
  <si>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</si>
  <si>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</si>
  <si>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</si>
  <si>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</si>
  <si>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</si>
  <si>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</si>
  <si>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</si>
  <si>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</si>
  <si>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</si>
  <si>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</si>
  <si>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</si>
  <si>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</si>
  <si>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</si>
  <si>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</si>
  <si>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</si>
  <si>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</si>
  <si>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</si>
  <si>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</si>
  <si>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</si>
  <si>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</si>
  <si>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</si>
  <si>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</si>
  <si>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</si>
  <si>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</si>
  <si>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</si>
  <si>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</si>
  <si>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</si>
  <si>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</si>
  <si>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</si>
  <si>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</si>
  <si>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</si>
  <si>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</si>
  <si>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</si>
  <si>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</si>
  <si>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</si>
  <si>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</si>
  <si>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</si>
  <si>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</si>
  <si>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</si>
  <si>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</si>
  <si>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</si>
  <si>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</si>
  <si>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</si>
  <si>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</si>
  <si>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</si>
  <si>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</si>
  <si>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</si>
  <si>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</si>
  <si>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</si>
  <si>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</si>
  <si>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</si>
  <si>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</si>
  <si>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</si>
  <si>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</si>
  <si>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</si>
  <si>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</si>
  <si>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</si>
  <si>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</si>
  <si>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</si>
  <si>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</si>
  <si>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</si>
  <si>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</si>
  <si>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</si>
  <si>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</si>
  <si>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</si>
  <si>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</si>
  <si>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</si>
  <si>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</si>
  <si>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</si>
  <si>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</si>
  <si>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</si>
  <si>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</si>
  <si>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</si>
  <si>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</si>
  <si>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</si>
  <si>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</si>
  <si>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</si>
  <si>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</si>
  <si>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</si>
  <si>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</si>
  <si>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</si>
  <si>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</si>
  <si>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</si>
  <si>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</si>
  <si>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</si>
  <si>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</si>
  <si>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</si>
  <si>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</si>
  <si>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</si>
  <si>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</si>
  <si>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</si>
  <si>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</si>
  <si>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</si>
  <si>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</si>
  <si>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</si>
  <si>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</si>
  <si>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</si>
  <si>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</si>
  <si>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</si>
  <si>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</si>
  <si>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</si>
  <si>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</si>
  <si>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</si>
  <si>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</si>
  <si>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</si>
  <si>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</si>
  <si>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</si>
  <si>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</si>
  <si>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</si>
  <si>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</si>
  <si>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</si>
  <si>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</si>
  <si>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</si>
  <si>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</si>
  <si>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</si>
  <si>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</si>
  <si>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</si>
  <si>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</si>
  <si>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</si>
  <si>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</si>
  <si>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</si>
  <si>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</si>
  <si>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</si>
  <si>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</si>
  <si>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</si>
  <si>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</si>
  <si>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</si>
  <si>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</si>
  <si>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</si>
  <si>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</si>
  <si>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</si>
  <si>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</si>
  <si>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</si>
  <si>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</si>
  <si>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</si>
  <si>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</si>
  <si>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</si>
  <si>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</si>
  <si>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</si>
  <si>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</si>
  <si>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</si>
  <si>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</si>
  <si>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</si>
  <si>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</si>
  <si>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</si>
  <si>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</si>
  <si>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</si>
  <si>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</si>
  <si>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</si>
  <si>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</si>
  <si>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</si>
  <si>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</si>
  <si>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</si>
  <si>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</si>
  <si>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</si>
  <si>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</si>
  <si>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</si>
  <si>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</si>
  <si>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</si>
  <si>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</si>
  <si>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</si>
  <si>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</si>
  <si>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</si>
  <si>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</si>
  <si>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</si>
  <si>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</si>
  <si>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</si>
  <si>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</si>
  <si>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</si>
  <si>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</si>
  <si>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</si>
  <si>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</si>
  <si>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</si>
  <si>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</si>
  <si>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</si>
  <si>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</si>
  <si>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</si>
  <si>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</si>
  <si>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</si>
  <si>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</si>
  <si>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</si>
  <si>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</si>
  <si>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</si>
  <si>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</si>
  <si>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</si>
  <si>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</si>
  <si>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</si>
  <si>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</si>
  <si>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</si>
  <si>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</si>
  <si>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</si>
  <si>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</si>
  <si>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</si>
  <si>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</si>
  <si>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</si>
  <si>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</si>
  <si>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</si>
  <si>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</si>
  <si>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</si>
  <si>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</si>
  <si>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</si>
  <si>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</si>
  <si>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</si>
  <si>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</si>
  <si>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</si>
  <si>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</si>
  <si>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</si>
  <si>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</si>
  <si>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</si>
  <si>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</si>
  <si>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</si>
  <si>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</si>
  <si>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</si>
  <si>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</si>
  <si>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</si>
  <si>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</si>
  <si>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</si>
  <si>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</si>
  <si>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</si>
  <si>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</si>
  <si>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</si>
  <si>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</si>
  <si>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</si>
  <si>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</si>
  <si>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</si>
  <si>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</si>
  <si>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</si>
  <si>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</si>
  <si>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</si>
  <si>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</si>
  <si>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</si>
  <si>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</si>
  <si>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</si>
  <si>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</si>
  <si>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</si>
  <si>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</si>
  <si>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</si>
  <si>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</si>
  <si>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</si>
  <si>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</si>
  <si>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</si>
  <si>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</si>
  <si>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</si>
  <si>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</si>
  <si>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</si>
  <si>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</si>
  <si>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</si>
  <si>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</si>
  <si>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</si>
  <si>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</si>
  <si>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</si>
  <si>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</si>
  <si>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</si>
  <si>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</si>
  <si>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</si>
  <si>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</si>
  <si>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</si>
  <si>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</si>
  <si>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</si>
  <si>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</si>
  <si>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</si>
  <si>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</si>
  <si>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</si>
  <si>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</si>
  <si>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</si>
  <si>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</si>
  <si>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</si>
  <si>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</si>
  <si>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</si>
  <si>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</si>
  <si>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</si>
  <si>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</si>
  <si>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</si>
  <si>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</si>
  <si>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</si>
  <si>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</si>
  <si>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</si>
  <si>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</si>
  <si>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</si>
  <si>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</si>
  <si>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</si>
  <si>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</si>
  <si>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</si>
  <si>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</si>
  <si>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</si>
  <si>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</si>
  <si>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</si>
  <si>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</si>
  <si>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</si>
  <si>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</si>
  <si>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</si>
  <si>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</si>
  <si>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</si>
  <si>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</si>
  <si>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</si>
  <si>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</si>
  <si>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</si>
  <si>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</si>
  <si>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</si>
  <si>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</si>
  <si>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</si>
  <si>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</si>
  <si>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</si>
  <si>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</si>
  <si>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</si>
  <si>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</si>
  <si>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</si>
  <si>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</si>
  <si>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</si>
  <si>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</si>
  <si>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</si>
  <si>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</si>
  <si>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</si>
  <si>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</si>
  <si>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</si>
  <si>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</si>
  <si>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</si>
  <si>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</si>
  <si>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</si>
  <si>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</si>
  <si>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</si>
  <si>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</si>
  <si>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</si>
  <si>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</si>
  <si>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</si>
  <si>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</si>
  <si>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</si>
  <si>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</si>
  <si>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</si>
  <si>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</si>
  <si>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</si>
  <si>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</si>
  <si>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</si>
  <si>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</si>
  <si>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</si>
  <si>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</si>
  <si>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</si>
  <si>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</si>
  <si>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</si>
  <si>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</si>
  <si>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</si>
  <si>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</si>
  <si>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</si>
  <si>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</si>
  <si>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</si>
  <si>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</si>
  <si>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</si>
  <si>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</si>
  <si>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</si>
  <si>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</si>
  <si>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</si>
  <si>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</si>
  <si>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</si>
  <si>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</si>
  <si>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</si>
  <si>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</si>
  <si>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</si>
  <si>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</si>
  <si>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</si>
  <si>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</si>
  <si>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</si>
  <si>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</si>
  <si>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</si>
  <si>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</si>
  <si>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</si>
  <si>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</si>
  <si>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</si>
  <si>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</si>
  <si>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</si>
  <si>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</si>
  <si>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</si>
  <si>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</si>
  <si>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</si>
  <si>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</si>
  <si>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</si>
  <si>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</si>
  <si>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</si>
  <si>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</si>
  <si>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</si>
  <si>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</si>
  <si>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</si>
  <si>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</si>
  <si>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</si>
  <si>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</si>
  <si>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</si>
  <si>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</si>
  <si>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</si>
  <si>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</si>
  <si>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</si>
  <si>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</si>
  <si>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</si>
  <si>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</si>
  <si>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</si>
  <si>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</si>
  <si>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</si>
  <si>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</si>
  <si>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</si>
  <si>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</si>
  <si>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</si>
  <si>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</si>
  <si>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</si>
  <si>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</si>
  <si>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</si>
  <si>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</si>
  <si>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</si>
  <si>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</si>
  <si>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</si>
  <si>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</si>
  <si>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</si>
  <si>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</si>
  <si>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</si>
  <si>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</si>
  <si>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</si>
  <si>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</si>
  <si>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</si>
  <si>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</si>
  <si>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</si>
  <si>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</si>
  <si>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</si>
  <si>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</si>
  <si>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</si>
  <si>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</si>
  <si>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</si>
  <si>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</si>
  <si>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</si>
  <si>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</si>
  <si>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</si>
  <si>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</si>
  <si>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</si>
  <si>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</si>
  <si>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</si>
  <si>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</si>
  <si>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</si>
  <si>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</si>
  <si>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</si>
  <si>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</si>
  <si>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</si>
  <si>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</si>
  <si>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</si>
  <si>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</si>
  <si>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</si>
  <si>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</si>
  <si>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</si>
  <si>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</si>
  <si>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</si>
  <si>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</si>
  <si>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</si>
  <si>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</si>
  <si>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</si>
  <si>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</si>
  <si>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</si>
  <si>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</si>
  <si>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</si>
  <si>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</si>
  <si>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</si>
  <si>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</si>
  <si>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</si>
  <si>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</si>
  <si>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</si>
  <si>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</si>
  <si>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</si>
  <si>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</si>
  <si>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</si>
  <si>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</si>
  <si>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</si>
  <si>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</si>
  <si>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</si>
  <si>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</si>
  <si>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</si>
  <si>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</si>
  <si>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</si>
  <si>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</si>
  <si>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</si>
  <si>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</si>
  <si>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</si>
  <si>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</si>
  <si>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</si>
  <si>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</si>
  <si>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</si>
  <si>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</si>
  <si>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</si>
  <si>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</si>
  <si>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</si>
  <si>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</si>
  <si>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</si>
  <si>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</si>
  <si>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</si>
  <si>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</si>
  <si>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</si>
  <si>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</si>
  <si>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</si>
  <si>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</si>
  <si>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</si>
  <si>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</si>
  <si>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</si>
  <si>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</si>
  <si>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</si>
  <si>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</si>
  <si>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</si>
  <si>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</si>
  <si>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</si>
  <si>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</si>
  <si>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</si>
  <si>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</si>
  <si>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</si>
  <si>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</si>
  <si>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</si>
  <si>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</si>
  <si>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</si>
  <si>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</si>
  <si>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</si>
  <si>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</si>
  <si>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</si>
  <si>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</si>
  <si>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</si>
  <si>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</si>
  <si>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</si>
  <si>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</si>
  <si>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</si>
  <si>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</si>
  <si>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</si>
  <si>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</si>
  <si>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</si>
  <si>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</si>
  <si>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</si>
  <si>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</si>
  <si>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</si>
  <si>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</si>
  <si>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</si>
  <si>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</si>
  <si>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</si>
  <si>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</si>
  <si>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</si>
  <si>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</si>
  <si>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</si>
  <si>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</si>
  <si>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</si>
  <si>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</si>
  <si>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</si>
  <si>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</si>
  <si>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</si>
  <si>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</si>
  <si>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</si>
  <si>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</si>
  <si>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</si>
  <si>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</si>
  <si>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</si>
  <si>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</si>
  <si>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</si>
  <si>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</si>
  <si>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</si>
  <si>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</si>
  <si>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</si>
  <si>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</si>
  <si>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</si>
  <si>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</si>
  <si>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</si>
  <si>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</si>
  <si>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</si>
  <si>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</si>
  <si>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</si>
  <si>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</si>
  <si>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</si>
  <si>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</si>
  <si>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</si>
  <si>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</si>
  <si>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</si>
  <si>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</si>
  <si>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</si>
  <si>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</si>
  <si>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</si>
  <si>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</si>
  <si>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</si>
  <si>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</si>
  <si>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</si>
  <si>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</si>
  <si>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</si>
  <si>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</si>
  <si>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</si>
  <si>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</si>
  <si>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</si>
  <si>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</si>
  <si>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</si>
  <si>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</si>
  <si>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</si>
  <si>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</si>
  <si>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</si>
  <si>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</si>
  <si>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</si>
  <si>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</si>
  <si>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</si>
  <si>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</si>
  <si>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</si>
  <si>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</si>
  <si>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</si>
  <si>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</si>
  <si>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</si>
  <si>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</si>
  <si>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</si>
  <si>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</si>
  <si>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</si>
  <si>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</si>
  <si>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</si>
  <si>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</si>
  <si>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</si>
  <si>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</si>
  <si>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</si>
  <si>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</si>
  <si>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</si>
  <si>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</si>
  <si>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</si>
  <si>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</si>
  <si>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</si>
  <si>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</si>
  <si>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</si>
  <si>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</si>
  <si>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</si>
  <si>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</si>
  <si>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</si>
  <si>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</si>
  <si>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</si>
  <si>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</si>
  <si>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</si>
  <si>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</si>
  <si>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</si>
  <si>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</si>
  <si>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</si>
  <si>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</si>
  <si>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</si>
  <si>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</si>
  <si>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</si>
  <si>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</si>
  <si>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</si>
  <si>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</si>
  <si>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</si>
  <si>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</si>
  <si>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</si>
  <si>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</si>
  <si>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</si>
  <si>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</si>
  <si>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</si>
  <si>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</si>
  <si>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</si>
  <si>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</si>
  <si>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</si>
  <si>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</si>
  <si>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</si>
  <si>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</si>
  <si>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</si>
  <si>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</si>
  <si>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</si>
  <si>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</si>
  <si>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</si>
  <si>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</si>
  <si>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</si>
  <si>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</si>
  <si>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</si>
  <si>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</si>
  <si>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</si>
  <si>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</si>
  <si>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</si>
  <si>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</si>
  <si>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</si>
  <si>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</si>
  <si>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</si>
  <si>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</si>
  <si>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</si>
  <si>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</si>
  <si>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</si>
  <si>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</si>
  <si>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</si>
  <si>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</si>
  <si>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</si>
  <si>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</si>
  <si>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</si>
  <si>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</si>
  <si>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</si>
  <si>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</si>
  <si>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</si>
  <si>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</si>
  <si>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</si>
  <si>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</si>
  <si>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</si>
  <si>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</si>
  <si>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</si>
  <si>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</si>
  <si>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</si>
  <si>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</si>
  <si>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</si>
  <si>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</si>
  <si>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</si>
  <si>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</si>
  <si>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</si>
  <si>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</si>
  <si>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</si>
  <si>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</si>
  <si>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</si>
  <si>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</si>
  <si>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</si>
  <si>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</si>
  <si>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</si>
  <si>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</si>
  <si>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</si>
  <si>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</si>
  <si>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</si>
  <si>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</si>
  <si>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</si>
  <si>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</si>
  <si>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</si>
  <si>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</si>
  <si>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</si>
  <si>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</si>
  <si>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</si>
  <si>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</si>
  <si>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</si>
  <si>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</si>
  <si>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</si>
  <si>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</si>
  <si>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</si>
  <si>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</si>
  <si>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</si>
  <si>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</si>
  <si>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</si>
  <si>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</si>
  <si>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</si>
  <si>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</si>
  <si>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</si>
  <si>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</si>
  <si>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</si>
  <si>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</si>
  <si>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</si>
  <si>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</si>
  <si>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</si>
  <si>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</si>
  <si>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</si>
  <si>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</si>
  <si>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</si>
  <si>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</si>
  <si>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</si>
  <si>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</si>
  <si>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</si>
  <si>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</si>
  <si>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</si>
  <si>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</si>
  <si>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</si>
  <si>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</si>
  <si>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</si>
  <si>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</si>
  <si>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</si>
  <si>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</si>
  <si>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</si>
  <si>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</si>
  <si>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</si>
  <si>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</si>
  <si>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</si>
  <si>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</si>
  <si>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</si>
  <si>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</si>
  <si>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</si>
  <si>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</si>
  <si>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</si>
  <si>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</si>
  <si>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</si>
  <si>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</si>
  <si>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</si>
  <si>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</si>
  <si>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</si>
  <si>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</si>
  <si>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</si>
  <si>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</si>
  <si>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</si>
  <si>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</si>
  <si>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</si>
  <si>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</si>
  <si>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</si>
  <si>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</si>
  <si>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</si>
  <si>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</si>
  <si>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</si>
  <si>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</si>
  <si>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</si>
  <si>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</si>
  <si>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</si>
  <si>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</si>
  <si>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</si>
  <si>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</si>
  <si>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</si>
  <si>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</si>
  <si>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</si>
  <si>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</si>
  <si>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</si>
  <si>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</si>
  <si>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</si>
  <si>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</si>
  <si>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</si>
  <si>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</si>
  <si>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</si>
  <si>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</si>
  <si>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</si>
  <si>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</si>
  <si>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</si>
  <si>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</si>
  <si>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</si>
  <si>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</si>
  <si>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</si>
  <si>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</si>
  <si>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</si>
  <si>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</si>
  <si>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</si>
  <si>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</si>
  <si>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</si>
  <si>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</si>
  <si>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</si>
  <si>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</si>
  <si>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</si>
  <si>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</si>
  <si>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</si>
  <si>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</si>
  <si>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</si>
  <si>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</si>
  <si>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</si>
  <si>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</si>
  <si>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</si>
  <si>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</si>
  <si>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</si>
  <si>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</si>
  <si>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</si>
  <si>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</si>
  <si>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</si>
  <si>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</si>
  <si>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</si>
  <si>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</si>
  <si>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</si>
  <si>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</si>
  <si>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</si>
  <si>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</si>
  <si>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</si>
  <si>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</si>
  <si>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</si>
  <si>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</si>
  <si>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</si>
  <si>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</si>
  <si>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</si>
  <si>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</si>
  <si>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</si>
  <si>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</si>
  <si>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</si>
  <si>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</si>
  <si>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</si>
  <si>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</si>
  <si>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</si>
  <si>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</si>
  <si>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</si>
  <si>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</si>
  <si>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</si>
  <si>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</si>
  <si>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</si>
  <si>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</si>
  <si>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</si>
  <si>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</si>
  <si>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</si>
  <si>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</si>
  <si>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</si>
  <si>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</si>
  <si>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</si>
  <si>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</si>
  <si>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</si>
  <si>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</si>
  <si>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</si>
  <si>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</si>
  <si>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</si>
  <si>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</si>
  <si>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</si>
  <si>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</si>
  <si>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</si>
  <si>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</si>
  <si>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</si>
  <si>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</si>
  <si>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</si>
  <si>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</si>
  <si>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</si>
  <si>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</si>
  <si>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</si>
  <si>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</si>
  <si>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</si>
  <si>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</si>
  <si>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</si>
  <si>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</si>
  <si>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</si>
  <si>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</si>
  <si>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</si>
  <si>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</si>
  <si>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</si>
  <si>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</si>
  <si>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</si>
  <si>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</si>
  <si>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</si>
  <si>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</si>
  <si>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</si>
  <si>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</si>
  <si>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</si>
  <si>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</si>
  <si>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</si>
  <si>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</si>
  <si>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</si>
  <si>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</si>
  <si>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</si>
  <si>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</si>
  <si>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</si>
  <si>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</si>
  <si>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</si>
  <si>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</si>
  <si>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</si>
  <si>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</si>
  <si>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</si>
  <si>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</si>
  <si>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</si>
  <si>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</si>
  <si>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</si>
  <si>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</si>
  <si>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</si>
  <si>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</si>
  <si>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</si>
  <si>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</si>
  <si>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</si>
  <si>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</si>
  <si>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</si>
  <si>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</si>
  <si>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</si>
  <si>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</si>
  <si>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</si>
  <si>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</si>
  <si>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</si>
  <si>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</si>
  <si>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</si>
  <si>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</si>
  <si>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</si>
  <si>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</si>
  <si>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</si>
  <si>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</si>
  <si>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</si>
  <si>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</si>
  <si>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</si>
  <si>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</si>
  <si>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</si>
  <si>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</si>
  <si>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</si>
  <si>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</si>
  <si>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</si>
  <si>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</si>
  <si>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</si>
  <si>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</si>
  <si>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</si>
  <si>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</si>
  <si>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</si>
  <si>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</si>
  <si>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</si>
  <si>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</si>
  <si>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</si>
  <si>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</si>
  <si>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</si>
  <si>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</si>
  <si>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</si>
  <si>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</si>
  <si>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</si>
  <si>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</si>
  <si>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</si>
  <si>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</si>
  <si>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</si>
  <si>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</si>
  <si>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</si>
  <si>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</si>
  <si>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</si>
  <si>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</si>
  <si>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</si>
  <si>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</si>
  <si>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</si>
  <si>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</si>
  <si>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</si>
  <si>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</si>
  <si>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</si>
  <si>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</si>
  <si>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</si>
  <si>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</si>
  <si>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</si>
  <si>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</si>
  <si>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</si>
  <si>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</si>
  <si>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</si>
  <si>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</si>
  <si>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</si>
  <si>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</si>
  <si>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</si>
  <si>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</si>
  <si>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</si>
  <si>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</si>
  <si>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</si>
  <si>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</si>
  <si>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</si>
  <si>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</si>
  <si>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</si>
  <si>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</si>
  <si>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</si>
  <si>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</si>
  <si>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</si>
  <si>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</si>
  <si>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</si>
  <si>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</si>
  <si>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</si>
  <si>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</si>
  <si>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</si>
  <si>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</si>
  <si>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</si>
  <si>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</si>
  <si>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</si>
  <si>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</si>
  <si>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</si>
  <si>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</si>
  <si>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</si>
  <si>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</si>
  <si>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</si>
  <si>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</si>
  <si>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</si>
  <si>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</si>
  <si>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</si>
  <si>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</si>
  <si>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</si>
  <si>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</si>
  <si>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</si>
  <si>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</si>
  <si>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</si>
  <si>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</si>
  <si>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</si>
  <si>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</si>
  <si>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</si>
  <si>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</si>
  <si>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</si>
  <si>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</si>
  <si>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</si>
  <si>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</si>
  <si>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</si>
  <si>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</si>
  <si>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</si>
  <si>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</si>
  <si>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</si>
  <si>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</si>
  <si>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</si>
  <si>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</si>
  <si>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</si>
  <si>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</si>
  <si>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</si>
  <si>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</si>
  <si>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</si>
  <si>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</si>
  <si>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</si>
  <si>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</si>
  <si>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</si>
  <si>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</si>
  <si>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</si>
  <si>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</si>
  <si>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</si>
  <si>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</si>
  <si>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</si>
  <si>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</si>
  <si>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</si>
  <si>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</si>
  <si>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</si>
  <si>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</si>
  <si>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</si>
  <si>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</si>
  <si>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</si>
  <si>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</si>
  <si>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</si>
  <si>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</si>
  <si>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</si>
  <si>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</si>
  <si>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</si>
  <si>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</si>
  <si>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</si>
  <si>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</si>
  <si>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</si>
  <si>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</si>
  <si>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</si>
  <si>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</si>
  <si>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</si>
  <si>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</si>
  <si>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</si>
  <si>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</si>
  <si>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</si>
  <si>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</si>
  <si>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</si>
  <si>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</si>
  <si>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</si>
  <si>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</si>
  <si>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</si>
  <si>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</si>
  <si>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</si>
  <si>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</si>
  <si>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</si>
  <si>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</si>
  <si>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</si>
  <si>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</si>
  <si>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</si>
  <si>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</si>
  <si>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</si>
  <si>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</si>
  <si>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</si>
  <si>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</si>
  <si>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</si>
  <si>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</si>
  <si>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</si>
  <si>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</si>
  <si>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</si>
  <si>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</si>
  <si>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</si>
  <si>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</si>
  <si>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</si>
  <si>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</si>
  <si>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</si>
  <si>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</si>
  <si>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</si>
  <si>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</si>
  <si>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</si>
  <si>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</si>
  <si>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</si>
  <si>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</si>
  <si>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</si>
  <si>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</si>
  <si>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</si>
  <si>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</si>
  <si>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</si>
  <si>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</si>
  <si>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</si>
  <si>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</si>
  <si>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</si>
  <si>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</si>
  <si>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</si>
  <si>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</si>
  <si>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</si>
  <si>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</si>
  <si>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</si>
  <si>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</si>
  <si>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</si>
  <si>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</si>
  <si>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</si>
  <si>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</si>
  <si>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</si>
  <si>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</si>
  <si>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</si>
  <si>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</si>
  <si>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</si>
  <si>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</si>
  <si>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</si>
  <si>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</si>
  <si>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</si>
  <si>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</si>
  <si>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</si>
  <si>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</si>
  <si>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</si>
  <si>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</si>
  <si>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</si>
  <si>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</si>
  <si>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</si>
  <si>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</si>
  <si>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</si>
  <si>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</si>
  <si>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</si>
  <si>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</si>
  <si>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</si>
  <si>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</si>
  <si>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</si>
  <si>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</si>
  <si>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</si>
  <si>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</si>
  <si>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</si>
  <si>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</si>
  <si>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</si>
  <si>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</si>
  <si>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</si>
  <si>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</si>
  <si>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</si>
  <si>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</si>
  <si>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</si>
  <si>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</si>
  <si>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</si>
  <si>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</si>
  <si>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</si>
  <si>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</si>
  <si>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</si>
  <si>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</si>
  <si>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</si>
  <si>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</si>
  <si>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</si>
  <si>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</si>
  <si>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</si>
  <si>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</si>
  <si>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</si>
  <si>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</si>
  <si>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</si>
  <si>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</si>
  <si>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</si>
  <si>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</si>
  <si>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</si>
  <si>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</si>
  <si>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</si>
  <si>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</si>
  <si>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</si>
  <si>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</si>
  <si>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</si>
  <si>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</si>
  <si>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</si>
  <si>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</si>
  <si>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</si>
  <si>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</si>
  <si>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</si>
  <si>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</si>
  <si>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</si>
  <si>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</si>
  <si>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</si>
  <si>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</si>
  <si>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</si>
  <si>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</si>
  <si>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</si>
  <si>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</si>
  <si>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</si>
  <si>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</si>
  <si>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</si>
  <si>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</si>
  <si>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</si>
  <si>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</si>
  <si>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</si>
  <si>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</si>
  <si>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</si>
  <si>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</si>
  <si>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</si>
  <si>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</si>
  <si>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</si>
  <si>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</si>
  <si>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</si>
  <si>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</si>
  <si>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</si>
  <si>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</si>
  <si>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</si>
  <si>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</si>
  <si>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</si>
  <si>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</si>
  <si>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</si>
  <si>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</si>
  <si>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</si>
  <si>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</si>
  <si>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</si>
  <si>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</si>
  <si>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</si>
  <si>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</si>
  <si>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</si>
  <si>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</si>
  <si>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</si>
  <si>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</si>
  <si>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</si>
  <si>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</si>
  <si>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</si>
  <si>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</si>
  <si>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</si>
  <si>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</si>
  <si>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</si>
  <si>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</si>
  <si>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</si>
  <si>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</si>
  <si>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</si>
  <si>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</si>
  <si>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</si>
  <si>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</si>
  <si>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</si>
  <si>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</si>
  <si>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</si>
  <si>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</si>
  <si>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</si>
  <si>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</si>
  <si>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</si>
  <si>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</si>
  <si>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</si>
  <si>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</si>
  <si>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</si>
  <si>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</si>
  <si>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</si>
  <si>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</si>
  <si>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</si>
  <si>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</si>
  <si>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</si>
  <si>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</si>
  <si>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</si>
  <si>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</si>
  <si>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</si>
  <si>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</si>
  <si>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</si>
  <si>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</si>
  <si>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</si>
  <si>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</si>
  <si>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</si>
  <si>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</si>
  <si>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</si>
  <si>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</si>
  <si>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</si>
  <si>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</si>
  <si>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</si>
  <si>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</si>
  <si>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</si>
  <si>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</si>
  <si>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</si>
  <si>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</si>
  <si>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</si>
  <si>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</si>
  <si>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</si>
  <si>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</si>
  <si>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</si>
  <si>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</si>
  <si>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</si>
  <si>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</si>
  <si>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</si>
  <si>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</si>
  <si>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</si>
  <si>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</si>
  <si>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</si>
  <si>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</si>
  <si>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</si>
  <si>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</si>
  <si>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</si>
  <si>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</si>
  <si>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</si>
  <si>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</si>
  <si>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</si>
  <si>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</si>
  <si>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</si>
  <si>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</si>
  <si>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</si>
  <si>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</si>
  <si>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</si>
  <si>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</si>
  <si>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</si>
  <si>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</si>
  <si>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</si>
  <si>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</si>
  <si>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</si>
  <si>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</si>
  <si>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</si>
  <si>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</si>
  <si>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</si>
  <si>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</si>
  <si>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</si>
  <si>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</si>
  <si>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</si>
  <si>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</si>
  <si>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</si>
  <si>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</si>
  <si>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</si>
  <si>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</si>
  <si>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</si>
  <si>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</si>
  <si>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</si>
  <si>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</si>
  <si>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</si>
  <si>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</si>
  <si>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</si>
  <si>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</si>
  <si>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</si>
  <si>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</si>
  <si>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</si>
  <si>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</si>
  <si>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</si>
  <si>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</si>
  <si>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</si>
  <si>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</si>
  <si>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</si>
  <si>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</si>
  <si>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</si>
  <si>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</si>
  <si>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</si>
  <si>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</si>
  <si>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</si>
  <si>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</si>
  <si>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</si>
  <si>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</si>
  <si>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</si>
  <si>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</si>
  <si>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</si>
  <si>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</si>
  <si>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</si>
  <si>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</si>
  <si>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</si>
  <si>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</si>
  <si>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</si>
  <si>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</si>
  <si>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</si>
  <si>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</si>
  <si>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</si>
  <si>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</si>
  <si>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</si>
  <si>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</si>
  <si>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</si>
  <si>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</si>
  <si>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</si>
  <si>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</si>
  <si>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</si>
  <si>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</si>
  <si>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</si>
  <si>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</si>
  <si>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</si>
  <si>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</si>
  <si>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</si>
  <si>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</si>
  <si>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</si>
  <si>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</si>
  <si>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</si>
  <si>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</si>
  <si>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</si>
  <si>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</si>
  <si>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</si>
  <si>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</si>
  <si>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</si>
  <si>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</si>
  <si>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</si>
  <si>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</si>
  <si>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</si>
  <si>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</si>
  <si>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</si>
  <si>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</si>
  <si>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</si>
  <si>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</si>
  <si>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</si>
  <si>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</si>
  <si>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</si>
  <si>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</si>
  <si>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</si>
  <si>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</si>
  <si>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</si>
  <si>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</si>
  <si>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</si>
  <si>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</si>
  <si>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</si>
  <si>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</si>
  <si>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</si>
  <si>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</si>
  <si>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</si>
  <si>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</si>
  <si>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</si>
  <si>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</si>
  <si>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</si>
  <si>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</si>
  <si>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</si>
  <si>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</si>
  <si>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</si>
  <si>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</si>
  <si>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</si>
  <si>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</si>
  <si>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</si>
  <si>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</si>
  <si>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</si>
  <si>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</si>
  <si>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</si>
  <si>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</si>
  <si>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</si>
  <si>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</si>
  <si>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</si>
  <si>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</si>
  <si>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</si>
  <si>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</si>
  <si>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</si>
  <si>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</si>
  <si>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</si>
  <si>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</si>
  <si>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</si>
  <si>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</si>
  <si>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</si>
  <si>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</si>
  <si>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</si>
  <si>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</si>
  <si>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</si>
  <si>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</si>
  <si>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</si>
  <si>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</si>
  <si>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</si>
  <si>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</si>
  <si>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</si>
  <si>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</si>
  <si>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</si>
  <si>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</si>
  <si>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</si>
  <si>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</si>
  <si>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</si>
  <si>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</si>
  <si>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</si>
  <si>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</si>
  <si>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</si>
  <si>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</si>
  <si>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</si>
  <si>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</si>
  <si>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</si>
  <si>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</si>
  <si>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</si>
  <si>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</si>
  <si>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</si>
  <si>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</si>
  <si>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</si>
  <si>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</si>
  <si>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</si>
  <si>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</si>
  <si>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</si>
  <si>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</si>
  <si>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</si>
  <si>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</si>
  <si>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</si>
  <si>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</si>
  <si>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</si>
  <si>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</si>
  <si>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</si>
  <si>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</si>
  <si>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</si>
  <si>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</si>
  <si>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</si>
  <si>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</si>
  <si>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</si>
  <si>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</si>
  <si>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</si>
  <si>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</si>
  <si>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</si>
  <si>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</si>
  <si>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</si>
  <si>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</si>
  <si>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</si>
  <si>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</si>
  <si>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</si>
  <si>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</si>
  <si>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</si>
  <si>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</si>
  <si>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</si>
  <si>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</si>
  <si>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</si>
  <si>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</si>
  <si>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</si>
  <si>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</si>
  <si>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</si>
  <si>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</si>
  <si>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</si>
  <si>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</si>
  <si>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</si>
  <si>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</si>
  <si>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</si>
  <si>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</si>
  <si>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</si>
  <si>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</si>
  <si>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</si>
  <si>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</si>
  <si>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</si>
  <si>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</si>
  <si>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</si>
  <si>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</si>
  <si>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</si>
  <si>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</si>
  <si>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</si>
  <si>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</si>
  <si>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</si>
  <si>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</si>
  <si>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</si>
  <si>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</si>
  <si>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</si>
  <si>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</si>
  <si>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</si>
  <si>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</si>
  <si>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</si>
  <si>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</si>
  <si>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</si>
  <si>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</si>
  <si>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</si>
  <si>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</si>
  <si>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</si>
  <si>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</si>
  <si>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</si>
  <si>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</si>
  <si>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</si>
  <si>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</si>
  <si>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</si>
  <si>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</si>
  <si>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</si>
  <si>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</si>
  <si>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</si>
  <si>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</si>
  <si>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</si>
  <si>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</si>
  <si>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</si>
  <si>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</si>
  <si>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</si>
  <si>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</si>
  <si>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</si>
  <si>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</si>
  <si>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</si>
  <si>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</si>
  <si>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</si>
  <si>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</si>
  <si>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</si>
  <si>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</si>
  <si>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</si>
  <si>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</si>
  <si>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</si>
  <si>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</si>
  <si>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</si>
  <si>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</si>
  <si>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</si>
  <si>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</si>
  <si>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</si>
  <si>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</si>
  <si>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</si>
  <si>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</si>
  <si>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</si>
  <si>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</si>
  <si>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</si>
  <si>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</si>
  <si>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</si>
  <si>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</si>
  <si>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</si>
  <si>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</si>
  <si>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</si>
  <si>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</si>
  <si>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</si>
  <si>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</si>
  <si>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</si>
  <si>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</si>
  <si>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</si>
  <si>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</si>
  <si>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</si>
  <si>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</si>
  <si>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</si>
  <si>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</si>
  <si>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</si>
  <si>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</si>
  <si>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</si>
  <si>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</si>
  <si>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</si>
  <si>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</si>
  <si>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</si>
  <si>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</si>
  <si>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</si>
  <si>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</si>
  <si>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</si>
  <si>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</si>
  <si>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</si>
  <si>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</si>
  <si>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</si>
  <si>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</si>
  <si>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</si>
  <si>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</si>
  <si>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</si>
  <si>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</si>
  <si>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</si>
  <si>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</si>
  <si>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</si>
  <si>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</si>
  <si>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</si>
  <si>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</si>
  <si>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</si>
  <si>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</si>
  <si>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</si>
  <si>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</si>
  <si>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</si>
  <si>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</si>
  <si>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</si>
  <si>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</si>
  <si>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</si>
  <si>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</si>
  <si>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</si>
  <si>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</si>
  <si>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</si>
  <si>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</si>
  <si>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</si>
  <si>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</si>
  <si>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</si>
  <si>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</si>
  <si>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</si>
  <si>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</si>
  <si>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</si>
  <si>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</si>
  <si>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</si>
  <si>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</si>
  <si>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</si>
  <si>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</si>
  <si>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</si>
  <si>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</si>
  <si>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</si>
  <si>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</si>
  <si>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</si>
  <si>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</si>
  <si>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</si>
  <si>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</si>
  <si>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</si>
  <si>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</si>
  <si>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</si>
  <si>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</si>
  <si>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</si>
  <si>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</si>
  <si>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</si>
  <si>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</si>
  <si>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</si>
  <si>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</si>
  <si>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</si>
  <si>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</si>
  <si>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</si>
  <si>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</si>
  <si>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</si>
  <si>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</si>
  <si>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</si>
  <si>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</si>
  <si>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</si>
  <si>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</si>
  <si>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</si>
  <si>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</si>
  <si>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</si>
  <si>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</si>
  <si>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</si>
  <si>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</si>
  <si>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</si>
  <si>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</si>
  <si>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</si>
  <si>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</si>
  <si>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</si>
  <si>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</si>
  <si>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</si>
  <si>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</si>
  <si>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</si>
  <si>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</si>
  <si>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</si>
  <si>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</si>
  <si>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</si>
  <si>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</si>
  <si>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</si>
  <si>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</si>
  <si>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</si>
  <si>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</si>
  <si>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</si>
  <si>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</si>
  <si>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</si>
  <si>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</si>
  <si>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</si>
  <si>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</si>
  <si>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</si>
  <si>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</si>
  <si>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</si>
  <si>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</si>
  <si>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</si>
  <si>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</si>
  <si>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</si>
  <si>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</si>
  <si>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</si>
  <si>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</si>
  <si>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</si>
  <si>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</si>
  <si>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</si>
  <si>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</si>
  <si>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</si>
  <si>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</si>
  <si>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</si>
  <si>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</si>
  <si>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</si>
  <si>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</si>
  <si>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</si>
  <si>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</si>
  <si>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</si>
  <si>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</si>
  <si>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</si>
  <si>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</si>
  <si>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</si>
  <si>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</si>
  <si>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</si>
  <si>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</si>
  <si>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</si>
  <si>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</si>
  <si>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</si>
  <si>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</si>
  <si>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</si>
  <si>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</si>
  <si>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</si>
  <si>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</si>
  <si>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</si>
  <si>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</si>
  <si>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</si>
  <si>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</si>
  <si>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</si>
  <si>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</si>
  <si>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</si>
  <si>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</si>
  <si>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</si>
  <si>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</si>
  <si>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</si>
  <si>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</si>
  <si>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</si>
  <si>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</si>
  <si>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</si>
  <si>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</si>
  <si>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</si>
  <si>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</si>
  <si>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</si>
  <si>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</si>
  <si>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</si>
  <si>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</si>
  <si>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</si>
  <si>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</si>
  <si>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</si>
  <si>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</si>
  <si>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</si>
  <si>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</si>
  <si>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</si>
  <si>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</si>
  <si>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</si>
  <si>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</si>
  <si>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</si>
  <si>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</si>
  <si>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</si>
  <si>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</si>
  <si>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</si>
  <si>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</si>
  <si>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</si>
  <si>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</si>
  <si>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</si>
  <si>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</si>
  <si>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</si>
  <si>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</si>
  <si>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</si>
  <si>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</si>
  <si>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</si>
  <si>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</si>
  <si>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</si>
  <si>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</si>
  <si>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</si>
  <si>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</si>
  <si>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</si>
  <si>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</si>
  <si>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</si>
  <si>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</si>
  <si>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</si>
  <si>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</si>
  <si>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</si>
  <si>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</si>
  <si>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</si>
  <si>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</si>
  <si>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</si>
  <si>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</si>
  <si>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</si>
  <si>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</si>
  <si>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</si>
  <si>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</si>
  <si>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</si>
  <si>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</si>
  <si>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</si>
  <si>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</si>
  <si>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</si>
  <si>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</si>
  <si>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</si>
  <si>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</si>
  <si>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</si>
  <si>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</si>
  <si>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</si>
  <si>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</si>
  <si>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</si>
  <si>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</si>
  <si>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</si>
  <si>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</si>
  <si>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</si>
  <si>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</si>
  <si>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</si>
  <si>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</si>
  <si>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</si>
  <si>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</si>
  <si>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</si>
  <si>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</si>
  <si>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</si>
  <si>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</si>
  <si>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</si>
  <si>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</si>
  <si>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</si>
  <si>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</si>
  <si>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</si>
  <si>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</si>
  <si>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</si>
  <si>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</si>
  <si>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</si>
  <si>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</si>
  <si>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</si>
  <si>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</si>
  <si>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</si>
  <si>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</si>
  <si>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</si>
  <si>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</si>
  <si>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</si>
  <si>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</si>
  <si>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</si>
  <si>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</si>
  <si>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</si>
  <si>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</si>
  <si>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</si>
  <si>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</si>
  <si>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</si>
  <si>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</si>
  <si>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</si>
  <si>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</si>
  <si>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</si>
  <si>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</si>
  <si>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</si>
  <si>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</si>
  <si>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</si>
  <si>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</si>
  <si>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</si>
  <si>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</si>
  <si>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</si>
  <si>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</si>
  <si>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</si>
  <si>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</si>
  <si>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</si>
  <si>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</si>
  <si>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</si>
  <si>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</si>
  <si>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</si>
  <si>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</si>
  <si>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</si>
  <si>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</si>
  <si>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</si>
  <si>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</si>
  <si>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</si>
  <si>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</si>
  <si>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</si>
  <si>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</si>
  <si>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</si>
  <si>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</si>
  <si>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</si>
  <si>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</si>
  <si>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</si>
  <si>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</si>
  <si>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</si>
  <si>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</si>
  <si>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</si>
  <si>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</si>
  <si>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</si>
  <si>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</si>
  <si>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</si>
  <si>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</si>
  <si>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</si>
  <si>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</si>
  <si>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</si>
  <si>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</si>
  <si>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</si>
  <si>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</si>
  <si>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</si>
  <si>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</si>
  <si>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</si>
  <si>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</si>
  <si>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</si>
  <si>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</si>
  <si>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</si>
  <si>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</si>
  <si>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</si>
  <si>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</si>
  <si>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</si>
  <si>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</si>
  <si>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</si>
  <si>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</si>
  <si>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</si>
  <si>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</si>
  <si>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</si>
  <si>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</si>
  <si>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</si>
  <si>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</si>
  <si>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</si>
  <si>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</si>
  <si>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</si>
  <si>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</si>
  <si>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</si>
  <si>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</si>
  <si>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</si>
  <si>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</si>
  <si>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</si>
  <si>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</si>
  <si>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</si>
  <si>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</si>
  <si>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</si>
  <si>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</si>
  <si>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</si>
  <si>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</si>
  <si>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</si>
  <si>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</si>
  <si>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</si>
  <si>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</si>
  <si>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</si>
  <si>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</si>
  <si>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</si>
  <si>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</si>
  <si>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</si>
  <si>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</si>
  <si>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</si>
  <si>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</si>
  <si>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</si>
  <si>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</si>
  <si>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</si>
  <si>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</si>
  <si>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</si>
  <si>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</si>
  <si>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</si>
  <si>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</si>
  <si>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</si>
  <si>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</si>
  <si>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</si>
  <si>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</si>
  <si>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</si>
  <si>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</si>
  <si>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</si>
  <si>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</si>
  <si>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</si>
  <si>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</si>
  <si>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</si>
  <si>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</si>
  <si>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</si>
  <si>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</si>
  <si>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</si>
  <si>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</si>
  <si>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</si>
  <si>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</si>
  <si>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</si>
  <si>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</si>
  <si>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</si>
  <si>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</si>
  <si>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</si>
  <si>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</si>
  <si>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</si>
  <si>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</si>
  <si>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</si>
  <si>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</si>
  <si>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</si>
  <si>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</si>
  <si>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</si>
  <si>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</si>
  <si>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</si>
  <si>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</si>
  <si>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</si>
  <si>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</si>
  <si>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</si>
  <si>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</si>
  <si>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</si>
  <si>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</si>
  <si>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</si>
  <si>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</si>
  <si>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</si>
  <si>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</si>
  <si>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</si>
  <si>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</si>
  <si>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</si>
  <si>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</si>
  <si>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</si>
  <si>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</si>
  <si>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</si>
  <si>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</si>
  <si>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</si>
  <si>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</si>
  <si>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</si>
  <si>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</si>
  <si>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</si>
  <si>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</si>
  <si>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</si>
  <si>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</si>
  <si>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</si>
  <si>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</si>
  <si>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</si>
  <si>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</si>
  <si>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</si>
  <si>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</si>
  <si>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</si>
  <si>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</si>
  <si>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</si>
  <si>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</si>
  <si>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</si>
  <si>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</si>
  <si>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</si>
  <si>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</si>
  <si>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</si>
  <si>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</si>
  <si>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</si>
  <si>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</si>
  <si>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</si>
  <si>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</si>
  <si>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</si>
  <si>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</si>
  <si>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</si>
  <si>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</si>
  <si>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</si>
  <si>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</si>
  <si>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</si>
  <si>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</si>
  <si>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</si>
  <si>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</si>
  <si>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</si>
  <si>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</si>
  <si>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</si>
  <si>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</si>
  <si>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</si>
  <si>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</si>
  <si>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</si>
  <si>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</si>
  <si>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</si>
  <si>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</si>
  <si>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</si>
  <si>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</si>
  <si>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</si>
  <si>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</si>
  <si>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</si>
  <si>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</si>
  <si>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</si>
  <si>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</si>
  <si>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</si>
  <si>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</si>
  <si>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</si>
  <si>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</si>
  <si>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</si>
  <si>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</si>
  <si>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</si>
  <si>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</si>
  <si>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</si>
  <si>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</si>
  <si>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</si>
  <si>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</si>
  <si>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</si>
  <si>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</si>
  <si>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</si>
  <si>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</si>
  <si>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</si>
  <si>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</si>
  <si>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</si>
  <si>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</si>
  <si>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</si>
  <si>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</si>
  <si>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</si>
  <si>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</si>
  <si>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</si>
  <si>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</si>
  <si>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</si>
  <si>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</si>
  <si>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</si>
  <si>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</si>
  <si>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</si>
  <si>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</si>
  <si>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</si>
  <si>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</si>
  <si>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</si>
  <si>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</si>
  <si>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</si>
  <si>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</si>
  <si>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</si>
  <si>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</si>
  <si>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</si>
  <si>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</si>
  <si>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</si>
  <si>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</si>
  <si>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</si>
  <si>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</si>
  <si>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</si>
  <si>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</si>
  <si>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</si>
  <si>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</si>
  <si>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</si>
  <si>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</si>
  <si>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</si>
  <si>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</si>
  <si>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</si>
  <si>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</si>
  <si>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</si>
  <si>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</si>
  <si>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</si>
  <si>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</si>
  <si>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</si>
  <si>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</si>
  <si>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</si>
  <si>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</si>
  <si>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</si>
  <si>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</si>
  <si>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</si>
  <si>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</si>
  <si>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</si>
  <si>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</si>
  <si>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</si>
  <si>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</si>
  <si>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</si>
  <si>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</si>
  <si>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</si>
  <si>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</si>
  <si>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</si>
  <si>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</si>
  <si>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</si>
  <si>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</si>
  <si>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</si>
  <si>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</si>
  <si>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</si>
  <si>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</si>
  <si>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</si>
  <si>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</si>
  <si>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</si>
  <si>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</si>
  <si>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</si>
  <si>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</si>
  <si>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</si>
  <si>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</si>
  <si>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</si>
  <si>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</si>
  <si>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</si>
  <si>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</si>
  <si>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</si>
  <si>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</si>
  <si>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</si>
  <si>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</si>
  <si>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</si>
  <si>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</si>
  <si>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</si>
  <si>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</si>
  <si>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</si>
  <si>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</si>
  <si>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</si>
  <si>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</si>
  <si>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</si>
  <si>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</si>
  <si>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</si>
  <si>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</si>
  <si>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</si>
  <si>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</si>
  <si>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</si>
  <si>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</si>
  <si>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</si>
  <si>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</si>
  <si>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</si>
  <si>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</si>
  <si>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</si>
  <si>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</si>
  <si>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</si>
  <si>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</si>
  <si>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</si>
  <si>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</si>
  <si>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</si>
  <si>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</si>
  <si>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</si>
  <si>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</si>
  <si>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</si>
  <si>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</si>
  <si>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</si>
  <si>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</si>
  <si>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</si>
  <si>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</si>
  <si>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</si>
  <si>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</si>
  <si>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</si>
  <si>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</si>
  <si>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</si>
  <si>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</si>
  <si>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</si>
  <si>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</si>
  <si>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</si>
  <si>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</si>
  <si>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</si>
  <si>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</si>
  <si>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</si>
  <si>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</si>
  <si>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</si>
  <si>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</si>
  <si>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</si>
  <si>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</si>
  <si>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</si>
  <si>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</si>
  <si>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</si>
  <si>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</si>
  <si>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</si>
  <si>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</si>
  <si>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</si>
  <si>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</si>
  <si>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</si>
  <si>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</si>
  <si>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</si>
  <si>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</si>
  <si>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</si>
  <si>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</si>
  <si>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</si>
  <si>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</si>
  <si>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</si>
  <si>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</si>
  <si>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</si>
  <si>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</si>
  <si>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</si>
  <si>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</si>
  <si>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</si>
  <si>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</si>
  <si>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</si>
  <si>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</si>
  <si>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</si>
  <si>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</si>
  <si>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</si>
  <si>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</si>
  <si>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</si>
  <si>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</si>
  <si>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</si>
  <si>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</si>
  <si>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</si>
  <si>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</si>
  <si>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</si>
  <si>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</si>
  <si>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</si>
  <si>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</si>
  <si>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</si>
  <si>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</si>
  <si>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</si>
  <si>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</si>
  <si>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</si>
  <si>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</si>
  <si>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</si>
  <si>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</si>
  <si>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</si>
  <si>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</si>
  <si>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</si>
  <si>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</si>
  <si>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</si>
  <si>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</si>
  <si>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</si>
  <si>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</si>
  <si>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</si>
  <si>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</si>
  <si>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</si>
  <si>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</si>
  <si>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</si>
  <si>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</si>
  <si>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</si>
  <si>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</si>
  <si>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</si>
  <si>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</si>
  <si>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</si>
  <si>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</si>
  <si>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</si>
  <si>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</si>
  <si>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</si>
  <si>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</si>
  <si>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</si>
  <si>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</si>
  <si>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</si>
  <si>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</si>
  <si>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</si>
  <si>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</si>
  <si>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</si>
  <si>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</si>
  <si>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</si>
  <si>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</si>
  <si>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</si>
  <si>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</si>
  <si>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</si>
  <si>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</si>
  <si>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</si>
  <si>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</si>
  <si>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</si>
  <si>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</si>
  <si>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</si>
  <si>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</si>
  <si>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</si>
  <si>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</si>
  <si>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</si>
  <si>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</si>
  <si>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</si>
  <si>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</si>
  <si>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</si>
  <si>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</si>
  <si>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</si>
  <si>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</si>
  <si>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</si>
  <si>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</si>
  <si>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</si>
  <si>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</si>
  <si>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</si>
  <si>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</si>
  <si>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</si>
  <si>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</si>
  <si>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</si>
  <si>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</si>
  <si>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</si>
  <si>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</si>
  <si>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</si>
  <si>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</si>
  <si>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</si>
  <si>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</si>
  <si>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</si>
  <si>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</si>
  <si>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</si>
  <si>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</si>
  <si>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</si>
  <si>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</si>
  <si>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</si>
  <si>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</si>
  <si>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</si>
  <si>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</si>
  <si>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</si>
  <si>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</si>
  <si>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</si>
  <si>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</si>
  <si>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</si>
  <si>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</si>
  <si>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</si>
  <si>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</si>
  <si>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</si>
  <si>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</si>
  <si>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</si>
  <si>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</si>
  <si>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</si>
  <si>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</si>
  <si>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</si>
  <si>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</si>
  <si>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</si>
  <si>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</si>
  <si>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</si>
  <si>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</si>
  <si>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</si>
  <si>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</si>
  <si>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</si>
  <si>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</si>
  <si>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</si>
  <si>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</si>
  <si>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</si>
  <si>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</si>
  <si>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</si>
  <si>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</si>
  <si>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</si>
  <si>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</si>
  <si>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</si>
  <si>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</si>
  <si>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</si>
  <si>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</si>
  <si>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</si>
  <si>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</si>
  <si>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</si>
  <si>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</si>
  <si>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</si>
  <si>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</si>
  <si>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</si>
  <si>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</si>
  <si>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</si>
  <si>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</si>
  <si>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</si>
  <si>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</si>
  <si>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</si>
  <si>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</si>
  <si>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</si>
  <si>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</si>
  <si>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</si>
  <si>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</si>
  <si>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</si>
  <si>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</si>
  <si>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</si>
  <si>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</si>
  <si>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</si>
  <si>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</si>
  <si>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</si>
  <si>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</si>
  <si>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</si>
  <si>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</si>
  <si>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</si>
  <si>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</si>
  <si>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</si>
  <si>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</si>
  <si>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</si>
  <si>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</si>
  <si>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</si>
  <si>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</si>
  <si>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</si>
  <si>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</si>
  <si>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</si>
  <si>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</si>
  <si>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</si>
  <si>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</si>
  <si>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</si>
  <si>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</si>
  <si>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</si>
  <si>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</si>
  <si>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</si>
  <si>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</si>
  <si>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</si>
  <si>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</si>
  <si>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</si>
  <si>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</si>
  <si>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</si>
  <si>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</si>
  <si>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</si>
  <si>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</si>
  <si>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</si>
  <si>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</si>
  <si>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</si>
  <si>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</si>
  <si>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</si>
  <si>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</si>
  <si>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</si>
  <si>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</si>
  <si>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</si>
  <si>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</si>
  <si>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</si>
  <si>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</si>
  <si>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</si>
  <si>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</si>
  <si>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</si>
  <si>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</si>
  <si>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</si>
  <si>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</si>
  <si>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</si>
  <si>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</si>
  <si>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</si>
  <si>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</si>
  <si>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</si>
  <si>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</si>
  <si>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</si>
  <si>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</si>
  <si>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</si>
  <si>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</si>
  <si>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</si>
  <si>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</si>
  <si>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</si>
  <si>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</si>
  <si>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</si>
  <si>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</si>
  <si>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</si>
  <si>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</si>
  <si>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</si>
  <si>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</si>
  <si>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</si>
  <si>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</si>
  <si>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</si>
  <si>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</si>
  <si>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</si>
  <si>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</si>
  <si>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</si>
  <si>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</si>
  <si>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</si>
  <si>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</si>
  <si>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</si>
  <si>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</si>
  <si>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</si>
  <si>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</si>
  <si>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</si>
  <si>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</si>
  <si>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</si>
  <si>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</si>
  <si>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</si>
  <si>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</si>
  <si>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</si>
  <si>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</si>
  <si>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</si>
  <si>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</si>
  <si>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</si>
  <si>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</si>
  <si>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</si>
  <si>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</si>
  <si>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</si>
  <si>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</si>
  <si>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</si>
  <si>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</si>
  <si>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</si>
  <si>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</si>
  <si>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</si>
  <si>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</si>
  <si>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</si>
  <si>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</si>
  <si>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</si>
  <si>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</si>
  <si>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</si>
  <si>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</si>
  <si>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</si>
  <si>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</si>
  <si>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</si>
  <si>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</si>
  <si>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</si>
  <si>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</si>
  <si>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</si>
  <si>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</si>
  <si>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</si>
  <si>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</si>
  <si>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</si>
  <si>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</si>
  <si>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</si>
  <si>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</si>
  <si>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</si>
  <si>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</si>
  <si>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</si>
  <si>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</si>
  <si>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</si>
  <si>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</si>
  <si>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</si>
  <si>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</si>
  <si>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</si>
  <si>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</si>
  <si>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</si>
  <si>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</si>
  <si>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</si>
  <si>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</si>
  <si>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</si>
  <si>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</si>
  <si>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</si>
  <si>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</si>
  <si>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</si>
  <si>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</si>
  <si>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</si>
  <si>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</si>
  <si>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</si>
  <si>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</si>
  <si>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</si>
  <si>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</si>
  <si>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</si>
  <si>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</si>
  <si>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</si>
  <si>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</si>
  <si>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</si>
  <si>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</si>
  <si>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</si>
  <si>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</si>
  <si>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</si>
  <si>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</si>
  <si>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</si>
  <si>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</si>
  <si>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</si>
  <si>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</si>
  <si>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</si>
  <si>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</si>
  <si>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</si>
  <si>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</si>
  <si>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</si>
  <si>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</si>
  <si>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</si>
  <si>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</si>
  <si>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</si>
  <si>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</si>
  <si>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</si>
  <si>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</si>
  <si>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</si>
  <si>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</si>
  <si>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</si>
  <si>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</si>
  <si>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</si>
  <si>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</si>
  <si>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</si>
  <si>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</si>
  <si>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</si>
  <si>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</si>
  <si>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</si>
  <si>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</si>
  <si>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</si>
  <si>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</si>
  <si>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</si>
  <si>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</si>
  <si>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</si>
  <si>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</si>
  <si>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</si>
  <si>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</si>
  <si>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</si>
  <si>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</si>
  <si>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</si>
  <si>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</si>
  <si>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</si>
  <si>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</si>
  <si>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</si>
  <si>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</si>
  <si>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</si>
  <si>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</si>
  <si>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</si>
  <si>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</si>
  <si>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</si>
  <si>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</si>
  <si>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</si>
  <si>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</si>
  <si>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</si>
  <si>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</si>
  <si>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</si>
  <si>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</si>
  <si>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</si>
  <si>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</si>
  <si>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</si>
  <si>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</si>
  <si>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</si>
  <si>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</si>
  <si>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</si>
  <si>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</si>
  <si>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</si>
  <si>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</si>
  <si>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</si>
  <si>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</si>
  <si>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</si>
  <si>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</si>
  <si>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</si>
  <si>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</si>
  <si>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</si>
  <si>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</si>
  <si>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</si>
  <si>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</si>
  <si>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</si>
  <si>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</si>
  <si>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</si>
  <si>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</si>
  <si>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</si>
  <si>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</si>
  <si>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</si>
  <si>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</si>
  <si>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</si>
  <si>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</si>
  <si>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</si>
  <si>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</si>
  <si>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</si>
  <si>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</si>
  <si>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</si>
  <si>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</si>
  <si>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</si>
  <si>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</si>
  <si>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</si>
  <si>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</si>
  <si>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</si>
  <si>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</si>
  <si>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</si>
  <si>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</si>
  <si>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</si>
  <si>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</si>
  <si>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</si>
  <si>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</si>
  <si>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</si>
  <si>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</si>
  <si>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</si>
  <si>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</si>
  <si>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</si>
  <si>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</si>
  <si>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</si>
  <si>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</si>
  <si>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</si>
  <si>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</si>
  <si>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</si>
  <si>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</si>
  <si>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</si>
  <si>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</si>
  <si>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</si>
  <si>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</si>
  <si>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</si>
  <si>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</si>
  <si>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</si>
  <si>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</si>
  <si>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</si>
  <si>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</si>
  <si>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</si>
  <si>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</si>
  <si>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</si>
  <si>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</si>
  <si>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</si>
  <si>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</si>
  <si>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</si>
  <si>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</si>
  <si>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</si>
  <si>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</si>
  <si>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</si>
  <si>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</si>
  <si>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</si>
  <si>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</si>
  <si>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</si>
  <si>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</si>
  <si>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</si>
  <si>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</si>
  <si>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</si>
  <si>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</si>
  <si>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</si>
  <si>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</si>
  <si>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</si>
  <si>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</si>
  <si>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</si>
  <si>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</si>
  <si>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</si>
  <si>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</si>
  <si>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</si>
  <si>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</si>
  <si>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</si>
  <si>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</si>
  <si>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</si>
  <si>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</si>
  <si>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</si>
  <si>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</si>
  <si>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</si>
  <si>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</si>
  <si>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</si>
  <si>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</si>
  <si>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</si>
  <si>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</si>
  <si>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</si>
  <si>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</si>
  <si>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</si>
  <si>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</si>
  <si>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</si>
  <si>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</si>
  <si>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</si>
  <si>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</si>
  <si>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</si>
  <si>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</si>
  <si>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</si>
  <si>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</si>
  <si>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</si>
  <si>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</si>
  <si>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</si>
  <si>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</si>
  <si>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</si>
  <si>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</si>
  <si>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</si>
  <si>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</si>
  <si>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</si>
  <si>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</si>
  <si>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</si>
  <si>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</si>
  <si>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</si>
  <si>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</si>
  <si>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</si>
  <si>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</si>
  <si>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</si>
  <si>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</si>
  <si>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</si>
  <si>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</si>
  <si>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</si>
  <si>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</si>
  <si>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</si>
  <si>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</si>
  <si>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</si>
  <si>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</si>
  <si>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</si>
  <si>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</si>
  <si>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</si>
  <si>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</si>
  <si>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</si>
  <si>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</si>
  <si>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</si>
  <si>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</si>
  <si>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</si>
  <si>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</si>
  <si>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</si>
  <si>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</si>
  <si>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</si>
  <si>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</si>
  <si>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</si>
  <si>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</si>
  <si>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</si>
  <si>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</si>
  <si>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</si>
  <si>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</si>
  <si>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</si>
  <si>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</si>
  <si>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</si>
  <si>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</si>
  <si>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</si>
  <si>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</si>
  <si>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</si>
  <si>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</si>
  <si>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</si>
  <si>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</si>
  <si>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</si>
  <si>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</si>
  <si>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</si>
  <si>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</si>
  <si>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</si>
  <si>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</si>
  <si>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</si>
  <si>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</si>
  <si>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</si>
  <si>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</si>
  <si>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</si>
  <si>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</si>
  <si>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</si>
  <si>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</si>
  <si>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</si>
  <si>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</si>
  <si>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</si>
  <si>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</si>
  <si>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</si>
  <si>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</si>
  <si>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</si>
  <si>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</si>
  <si>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</si>
  <si>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</si>
  <si>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</si>
  <si>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</si>
  <si>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</si>
  <si>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</si>
  <si>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</si>
  <si>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</si>
  <si>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</si>
  <si>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</si>
  <si>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</si>
  <si>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</si>
  <si>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</si>
  <si>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</si>
  <si>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</si>
  <si>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</si>
  <si>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</si>
  <si>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</si>
  <si>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</si>
  <si>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</si>
  <si>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</si>
  <si>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</si>
  <si>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</si>
  <si>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</si>
  <si>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</si>
  <si>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</si>
  <si>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</si>
  <si>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</si>
  <si>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</si>
  <si>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</si>
  <si>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</si>
  <si>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</si>
  <si>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</si>
  <si>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</si>
  <si>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</si>
  <si>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</si>
  <si>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</si>
  <si>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</si>
  <si>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</si>
  <si>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</si>
  <si>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</si>
  <si>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</si>
  <si>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</si>
  <si>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</si>
  <si>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</si>
  <si>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</si>
  <si>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</si>
  <si>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</si>
  <si>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</si>
  <si>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</si>
  <si>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</si>
  <si>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</si>
  <si>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</si>
  <si>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</si>
  <si>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</si>
  <si>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</si>
  <si>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</si>
  <si>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</si>
  <si>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</si>
  <si>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</si>
  <si>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</si>
  <si>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</si>
  <si>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</si>
  <si>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</si>
  <si>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</si>
  <si>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</si>
  <si>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</si>
  <si>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</si>
  <si>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</si>
  <si>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</si>
  <si>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</si>
  <si>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</si>
  <si>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</si>
  <si>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</si>
  <si>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</si>
  <si>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</si>
  <si>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</si>
  <si>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</si>
  <si>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</si>
  <si>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</si>
  <si>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</si>
  <si>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</si>
  <si>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</si>
  <si>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</si>
  <si>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</si>
  <si>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</si>
  <si>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</si>
  <si>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</si>
  <si>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</si>
  <si>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</si>
  <si>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</si>
  <si>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</si>
  <si>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</si>
  <si>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</si>
  <si>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</si>
  <si>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</si>
  <si>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</si>
  <si>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</si>
  <si>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</si>
  <si>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</si>
  <si>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</si>
  <si>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</si>
  <si>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</si>
  <si>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</si>
  <si>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</si>
  <si>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</si>
  <si>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</si>
  <si>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</si>
  <si>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</si>
  <si>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</si>
  <si>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</si>
  <si>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</si>
  <si>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</si>
  <si>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</si>
  <si>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</si>
  <si>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</si>
  <si>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</si>
  <si>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</si>
  <si>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</si>
  <si>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</si>
  <si>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</si>
  <si>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</si>
  <si>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</si>
  <si>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</si>
  <si>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</si>
  <si>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</si>
  <si>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</si>
  <si>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</si>
  <si>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</si>
  <si>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</si>
  <si>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</si>
  <si>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</si>
  <si>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</si>
  <si>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</si>
  <si>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</si>
  <si>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</si>
  <si>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</si>
  <si>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</si>
  <si>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</si>
  <si>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</si>
  <si>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</si>
  <si>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</si>
  <si>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</si>
  <si>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</si>
  <si>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</si>
  <si>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</si>
  <si>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</si>
  <si>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</si>
  <si>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</si>
  <si>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</si>
  <si>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</si>
  <si>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</si>
  <si>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</si>
  <si>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</si>
  <si>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</si>
  <si>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</si>
  <si>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</si>
  <si>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</si>
  <si>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</si>
  <si>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</si>
  <si>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</si>
  <si>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</si>
  <si>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</si>
  <si>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</si>
  <si>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</si>
  <si>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</si>
  <si>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</si>
  <si>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</si>
  <si>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</si>
  <si>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</si>
  <si>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</si>
  <si>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</si>
  <si>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</si>
  <si>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</si>
  <si>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</si>
  <si>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</si>
  <si>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</si>
  <si>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</si>
  <si>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</si>
  <si>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</si>
  <si>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</si>
  <si>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</si>
  <si>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</si>
  <si>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</si>
  <si>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</si>
  <si>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</si>
  <si>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</si>
  <si>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</si>
  <si>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</si>
  <si>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</si>
  <si>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</si>
  <si>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</si>
  <si>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</si>
  <si>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</si>
  <si>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</si>
  <si>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</si>
  <si>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</si>
  <si>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</si>
  <si>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</si>
  <si>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</si>
  <si>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</si>
  <si>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</si>
  <si>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</si>
  <si>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</si>
  <si>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</si>
  <si>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</si>
  <si>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</si>
  <si>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</si>
  <si>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</si>
  <si>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</si>
  <si>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</si>
  <si>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</si>
  <si>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</si>
  <si>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</si>
  <si>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</si>
  <si>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</si>
  <si>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</si>
  <si>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</si>
  <si>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</si>
  <si>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</si>
  <si>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</si>
  <si>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</si>
  <si>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</si>
  <si>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</si>
  <si>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</si>
  <si>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</si>
  <si>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</si>
  <si>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</si>
  <si>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</si>
  <si>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</si>
  <si>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</si>
  <si>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</si>
  <si>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</si>
  <si>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</si>
  <si>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</si>
  <si>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</si>
  <si>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</si>
  <si>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</si>
  <si>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</si>
  <si>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</si>
  <si>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</si>
  <si>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</si>
  <si>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</si>
  <si>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</si>
  <si>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</si>
  <si>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</si>
  <si>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</si>
  <si>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</si>
  <si>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</si>
  <si>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</si>
  <si>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</si>
  <si>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</si>
  <si>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</si>
  <si>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</si>
  <si>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</si>
  <si>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</si>
  <si>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</si>
  <si>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</si>
  <si>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</si>
  <si>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</si>
  <si>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</si>
  <si>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</si>
  <si>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</si>
  <si>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</si>
  <si>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</si>
  <si>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</si>
  <si>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</si>
  <si>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</si>
  <si>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</si>
  <si>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</si>
  <si>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</si>
  <si>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</si>
  <si>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</si>
  <si>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</si>
  <si>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</si>
  <si>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</si>
  <si>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</si>
  <si>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</si>
  <si>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</si>
  <si>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</si>
  <si>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</si>
  <si>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</si>
  <si>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</si>
  <si>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</si>
  <si>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</si>
  <si>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</si>
  <si>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</si>
  <si>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</si>
  <si>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</si>
  <si>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</si>
  <si>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</si>
  <si>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</si>
  <si>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</si>
  <si>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</si>
  <si>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</si>
  <si>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</si>
  <si>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</si>
  <si>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</si>
  <si>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</si>
  <si>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</si>
  <si>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</si>
  <si>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</si>
  <si>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</si>
  <si>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</si>
  <si>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</si>
  <si>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</si>
  <si>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</si>
  <si>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</si>
  <si>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</si>
  <si>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</si>
  <si>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</si>
  <si>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</si>
  <si>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</si>
  <si>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</si>
  <si>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</si>
  <si>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</si>
  <si>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</si>
  <si>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</si>
  <si>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</si>
  <si>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</si>
  <si>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</si>
  <si>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</si>
  <si>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</si>
  <si>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</si>
  <si>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</si>
  <si>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</si>
  <si>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</si>
  <si>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</si>
  <si>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</si>
  <si>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</si>
  <si>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</si>
  <si>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</si>
  <si>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</si>
  <si>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</si>
  <si>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</si>
  <si>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</si>
  <si>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</si>
  <si>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</si>
  <si>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</si>
  <si>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</si>
  <si>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</si>
  <si>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</si>
  <si>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</si>
  <si>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</si>
  <si>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</si>
  <si>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</si>
  <si>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</si>
  <si>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</si>
  <si>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</si>
  <si>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</si>
  <si>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</si>
  <si>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</si>
  <si>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</si>
  <si>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</si>
  <si>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</si>
  <si>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</si>
  <si>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</si>
  <si>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</si>
  <si>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</si>
  <si>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</si>
  <si>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</si>
  <si>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</si>
  <si>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</si>
  <si>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</si>
  <si>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</si>
  <si>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</si>
  <si>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</si>
  <si>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</si>
  <si>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</si>
  <si>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</si>
  <si>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</si>
  <si>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</si>
  <si>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</si>
  <si>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</si>
  <si>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</si>
  <si>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</si>
  <si>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</si>
  <si>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</si>
  <si>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</si>
  <si>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</si>
  <si>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</si>
  <si>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</si>
  <si>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</si>
  <si>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</si>
  <si>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</si>
  <si>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</si>
  <si>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</si>
  <si>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</si>
  <si>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</si>
  <si>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</si>
  <si>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</si>
  <si>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</si>
  <si>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</si>
  <si>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</si>
  <si>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</si>
  <si>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</si>
  <si>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</si>
  <si>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</si>
  <si>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</si>
  <si>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</si>
  <si>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</si>
  <si>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</si>
  <si>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</si>
  <si>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</si>
  <si>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</si>
  <si>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</si>
  <si>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</si>
  <si>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</si>
  <si>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</si>
  <si>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</si>
  <si>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</si>
  <si>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</si>
  <si>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</si>
  <si>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</si>
  <si>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</si>
  <si>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</si>
  <si>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</si>
  <si>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</si>
  <si>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</si>
  <si>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</si>
  <si>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</si>
  <si>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</si>
  <si>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</si>
  <si>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</si>
  <si>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</si>
  <si>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</si>
  <si>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</si>
  <si>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</si>
  <si>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</si>
  <si>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</si>
  <si>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</si>
  <si>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</si>
  <si>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</si>
  <si>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</si>
  <si>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</si>
  <si>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</si>
  <si>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</si>
  <si>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</si>
  <si>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</si>
  <si>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</si>
  <si>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</si>
  <si>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</si>
  <si>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</si>
  <si>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</si>
  <si>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</si>
  <si>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</si>
  <si>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</si>
  <si>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</si>
  <si>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</si>
  <si>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</si>
  <si>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</si>
  <si>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</si>
  <si>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</si>
  <si>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</si>
  <si>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</si>
  <si>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</si>
  <si>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</si>
  <si>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</si>
  <si>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</si>
  <si>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</si>
  <si>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</si>
  <si>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</si>
  <si>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</si>
  <si>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</si>
  <si>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</si>
  <si>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</si>
  <si>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</si>
  <si>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</si>
  <si>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</si>
  <si>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</si>
  <si>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</si>
  <si>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</si>
  <si>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</si>
  <si>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</si>
  <si>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</si>
  <si>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</si>
  <si>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</si>
  <si>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</si>
  <si>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</si>
  <si>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</si>
  <si>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</si>
  <si>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</si>
  <si>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</si>
  <si>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</si>
  <si>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</si>
  <si>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</si>
  <si>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</si>
  <si>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</si>
  <si>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</si>
  <si>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</si>
  <si>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</si>
  <si>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</si>
  <si>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</si>
  <si>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</si>
  <si>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</si>
  <si>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</si>
  <si>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</si>
  <si>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</si>
  <si>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</si>
  <si>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</si>
  <si>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</si>
  <si>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</si>
  <si>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</si>
  <si>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</si>
  <si>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</si>
  <si>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</si>
  <si>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</si>
  <si>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</si>
  <si>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</si>
  <si>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</si>
  <si>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</si>
  <si>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</si>
  <si>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</si>
  <si>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</si>
  <si>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</si>
  <si>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</si>
  <si>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</si>
  <si>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</si>
  <si>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</si>
  <si>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</si>
  <si>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</si>
  <si>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</si>
  <si>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</si>
  <si>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</si>
  <si>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</si>
  <si>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</si>
  <si>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</si>
  <si>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</si>
  <si>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</si>
  <si>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</si>
  <si>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</si>
  <si>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</si>
  <si>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</si>
  <si>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</si>
  <si>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</si>
  <si>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</si>
  <si>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</si>
  <si>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</si>
  <si>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</si>
  <si>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</si>
  <si>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</si>
  <si>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</si>
  <si>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</si>
  <si>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</si>
  <si>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</si>
  <si>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</si>
  <si>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</si>
  <si>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</si>
  <si>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</si>
  <si>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</si>
  <si>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</si>
  <si>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</si>
  <si>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</si>
  <si>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</si>
  <si>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</si>
  <si>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</si>
  <si>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</si>
  <si>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</si>
  <si>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</si>
  <si>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</si>
  <si>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</si>
  <si>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</si>
  <si>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</si>
  <si>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</si>
  <si>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</si>
  <si>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</si>
  <si>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</si>
  <si>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</si>
  <si>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</si>
  <si>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</si>
  <si>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</si>
  <si>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</si>
  <si>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</si>
  <si>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</si>
  <si>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</si>
  <si>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</si>
  <si>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</si>
  <si>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</si>
  <si>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</si>
  <si>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</si>
  <si>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</si>
  <si>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</si>
  <si>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</si>
  <si>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</si>
  <si>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</si>
  <si>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</si>
  <si>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</si>
  <si>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</si>
  <si>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</si>
  <si>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</si>
  <si>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</si>
  <si>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</si>
  <si>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</si>
  <si>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</si>
  <si>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</si>
  <si>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</si>
  <si>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</si>
  <si>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</si>
  <si>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</si>
  <si>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</si>
  <si>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</si>
  <si>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</si>
  <si>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</si>
  <si>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</si>
  <si>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</si>
  <si>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</si>
  <si>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</si>
  <si>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</si>
  <si>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</si>
  <si>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</si>
  <si>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</si>
  <si>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</si>
  <si>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</si>
  <si>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</si>
  <si>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</si>
  <si>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</si>
  <si>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</si>
  <si>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</si>
  <si>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</si>
  <si>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</si>
  <si>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</si>
  <si>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</si>
  <si>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</si>
  <si>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</si>
  <si>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</si>
  <si>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</si>
  <si>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</si>
  <si>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</si>
  <si>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</si>
  <si>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</si>
  <si>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</si>
  <si>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</si>
  <si>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</si>
  <si>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</si>
  <si>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</si>
  <si>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</si>
  <si>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</si>
  <si>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</si>
  <si>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</si>
  <si>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</si>
  <si>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</si>
  <si>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</si>
  <si>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</si>
  <si>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</si>
  <si>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</si>
  <si>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</si>
  <si>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</si>
  <si>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</si>
  <si>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</si>
  <si>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</si>
  <si>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</si>
  <si>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</si>
  <si>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</si>
  <si>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</si>
  <si>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</si>
  <si>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</si>
  <si>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</si>
  <si>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</si>
  <si>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</si>
  <si>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</si>
  <si>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</si>
  <si>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</si>
  <si>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</si>
  <si>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</si>
  <si>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</si>
  <si>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</si>
  <si>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</si>
  <si>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</si>
  <si>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</si>
  <si>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</si>
  <si>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</si>
  <si>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</si>
  <si>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</si>
  <si>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</si>
  <si>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</si>
  <si>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</si>
  <si>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</si>
  <si>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</si>
  <si>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</si>
  <si>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</si>
  <si>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</si>
  <si>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</si>
  <si>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</si>
  <si>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</si>
  <si>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</si>
  <si>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</si>
  <si>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</si>
  <si>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</si>
  <si>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</si>
  <si>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</si>
  <si>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</si>
  <si>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</si>
  <si>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</si>
  <si>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</si>
  <si>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</si>
  <si>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</si>
  <si>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</si>
  <si>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</si>
  <si>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</si>
  <si>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</si>
  <si>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</si>
  <si>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</si>
  <si>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</si>
  <si>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</si>
  <si>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</si>
  <si>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</si>
  <si>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</si>
  <si>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</si>
  <si>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</si>
  <si>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</si>
  <si>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</si>
  <si>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</si>
  <si>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</si>
  <si>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</si>
  <si>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</si>
  <si>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</si>
  <si>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</si>
  <si>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</si>
  <si>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</si>
  <si>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</si>
  <si>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</si>
  <si>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</si>
  <si>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</si>
  <si>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</si>
  <si>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</si>
  <si>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</si>
  <si>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</si>
  <si>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</si>
  <si>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</si>
  <si>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</si>
  <si>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</si>
  <si>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</si>
  <si>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</si>
  <si>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</si>
  <si>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</si>
  <si>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</si>
  <si>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</si>
  <si>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</si>
  <si>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</si>
  <si>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</si>
  <si>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</si>
  <si>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</si>
  <si>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</si>
  <si>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</si>
  <si>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</si>
  <si>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</si>
  <si>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</si>
  <si>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</si>
  <si>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</si>
  <si>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</si>
  <si>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</si>
  <si>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</si>
  <si>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</si>
  <si>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</si>
  <si>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</si>
  <si>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</si>
  <si>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</si>
  <si>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</si>
  <si>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</si>
  <si>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</si>
  <si>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</si>
  <si>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</si>
  <si>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</si>
  <si>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</si>
  <si>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</si>
  <si>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</si>
  <si>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</si>
  <si>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</si>
  <si>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</si>
  <si>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</si>
  <si>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</si>
  <si>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</si>
  <si>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</si>
  <si>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</si>
  <si>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</si>
  <si>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</si>
  <si>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</si>
  <si>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</si>
  <si>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</si>
  <si>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</si>
  <si>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</si>
  <si>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</si>
  <si>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</si>
  <si>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</si>
  <si>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</si>
  <si>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</si>
  <si>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</si>
  <si>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</si>
  <si>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</si>
  <si>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</si>
  <si>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</si>
  <si>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</si>
  <si>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</si>
  <si>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</si>
  <si>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</si>
  <si>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</si>
  <si>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</si>
  <si>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</si>
  <si>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</si>
  <si>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</si>
  <si>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</si>
  <si>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</si>
  <si>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</si>
  <si>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</si>
  <si>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</si>
  <si>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</si>
  <si>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</si>
  <si>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</si>
  <si>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</si>
  <si>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</si>
  <si>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</si>
  <si>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</si>
  <si>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</si>
  <si>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</si>
  <si>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</si>
  <si>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</si>
  <si>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</si>
  <si>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</si>
  <si>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</si>
  <si>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</si>
  <si>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</si>
  <si>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</si>
  <si>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</si>
  <si>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</si>
  <si>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</si>
  <si>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</si>
  <si>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</si>
  <si>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</si>
  <si>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</si>
  <si>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</si>
  <si>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</si>
  <si>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</si>
  <si>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</si>
  <si>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</si>
  <si>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</si>
  <si>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</si>
  <si>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</si>
  <si>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</si>
  <si>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</si>
  <si>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</si>
  <si>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</si>
  <si>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</si>
  <si>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</si>
  <si>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</si>
  <si>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</si>
  <si>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</si>
  <si>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</si>
  <si>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</si>
  <si>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</si>
  <si>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</si>
  <si>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</si>
  <si>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</si>
  <si>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</si>
  <si>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</si>
  <si>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</si>
  <si>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</si>
  <si>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</si>
  <si>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</si>
  <si>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</si>
  <si>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</si>
  <si>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</si>
  <si>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</si>
  <si>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</si>
  <si>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</si>
  <si>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</si>
  <si>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</si>
  <si>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</si>
  <si>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</si>
  <si>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</si>
  <si>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</si>
  <si>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</si>
  <si>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</si>
  <si>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</si>
  <si>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</si>
  <si>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</si>
  <si>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</si>
  <si>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</si>
  <si>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</si>
  <si>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</si>
  <si>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</si>
  <si>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</si>
  <si>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</si>
  <si>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</si>
  <si>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</si>
  <si>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</si>
  <si>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</si>
  <si>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</si>
  <si>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</si>
  <si>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</si>
  <si>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</si>
  <si>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</si>
  <si>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</si>
  <si>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</si>
  <si>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</si>
  <si>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</si>
  <si>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</si>
  <si>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</si>
  <si>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</si>
  <si>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</si>
  <si>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</si>
  <si>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</si>
  <si>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</si>
  <si>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</si>
  <si>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</si>
  <si>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</si>
  <si>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</si>
  <si>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</si>
  <si>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</si>
  <si>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</si>
  <si>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</si>
  <si>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</si>
  <si>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</si>
  <si>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</si>
  <si>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</si>
  <si>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</si>
  <si>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</si>
  <si>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</si>
  <si>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</si>
  <si>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</si>
  <si>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</si>
  <si>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</si>
  <si>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</si>
  <si>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</si>
  <si>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</si>
  <si>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</si>
  <si>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</si>
  <si>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</si>
  <si>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</si>
  <si>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</si>
  <si>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</si>
  <si>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</si>
  <si>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</si>
  <si>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</si>
  <si>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</si>
  <si>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</si>
  <si>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</si>
  <si>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</si>
  <si>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</si>
  <si>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</si>
  <si>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</si>
  <si>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</si>
  <si>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</si>
  <si>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</si>
  <si>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</si>
  <si>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</si>
  <si>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</si>
  <si>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</si>
  <si>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</si>
  <si>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</si>
  <si>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</si>
  <si>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</si>
  <si>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</si>
  <si>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</si>
  <si>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</si>
  <si>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</si>
  <si>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</si>
  <si>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</si>
  <si>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</si>
  <si>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</si>
  <si>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</si>
  <si>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</si>
  <si>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</si>
  <si>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</si>
  <si>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</si>
  <si>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</si>
  <si>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</si>
  <si>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</si>
  <si>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</si>
  <si>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</si>
  <si>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</si>
  <si>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</si>
  <si>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</si>
  <si>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</si>
  <si>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</si>
  <si>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</si>
  <si>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</si>
  <si>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</si>
  <si>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</si>
  <si>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</si>
  <si>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</si>
  <si>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</si>
  <si>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</si>
  <si>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</si>
  <si>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</si>
  <si>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</si>
  <si>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</si>
  <si>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</si>
  <si>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</si>
  <si>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</si>
  <si>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</si>
  <si>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</si>
  <si>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</si>
  <si>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</si>
  <si>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</si>
  <si>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</si>
  <si>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</si>
  <si>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</si>
  <si>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</si>
  <si>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</si>
  <si>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</si>
  <si>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</si>
  <si>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</si>
  <si>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</si>
  <si>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</si>
  <si>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</si>
  <si>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</si>
  <si>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</si>
  <si>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</si>
  <si>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</si>
  <si>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</si>
  <si>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</si>
  <si>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</si>
  <si>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</si>
  <si>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</si>
  <si>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</si>
  <si>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</si>
  <si>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</si>
  <si>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</si>
  <si>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</si>
  <si>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</si>
  <si>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</si>
  <si>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</si>
  <si>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</si>
  <si>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</si>
  <si>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</si>
  <si>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</si>
  <si>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</si>
  <si>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</si>
  <si>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</si>
  <si>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</si>
  <si>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</si>
  <si>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</si>
  <si>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</si>
  <si>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</si>
  <si>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</si>
  <si>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</si>
  <si>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</si>
  <si>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</si>
  <si>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</si>
  <si>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</si>
  <si>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</si>
  <si>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</si>
  <si>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</si>
  <si>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</si>
  <si>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</si>
  <si>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</si>
  <si>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</si>
  <si>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</si>
  <si>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</si>
  <si>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</si>
  <si>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</si>
  <si>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</si>
  <si>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</si>
  <si>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</si>
  <si>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</si>
  <si>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</si>
  <si>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</si>
  <si>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</si>
  <si>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</si>
  <si>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</si>
  <si>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</si>
  <si>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</si>
  <si>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</si>
  <si>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</si>
  <si>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</si>
  <si>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</si>
  <si>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</si>
  <si>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</si>
  <si>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</si>
  <si>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</si>
  <si>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</si>
  <si>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</si>
  <si>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</si>
  <si>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</si>
  <si>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</si>
  <si>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</si>
  <si>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</si>
  <si>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</si>
  <si>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</si>
  <si>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</si>
  <si>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</si>
  <si>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</si>
  <si>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</si>
  <si>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</si>
  <si>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</si>
  <si>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</si>
  <si>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</si>
  <si>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</si>
  <si>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</si>
  <si>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</si>
  <si>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</si>
  <si>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</si>
  <si>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</si>
  <si>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</si>
  <si>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</si>
  <si>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</si>
  <si>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</si>
  <si>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</si>
  <si>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</si>
  <si>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</si>
  <si>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</si>
  <si>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</si>
  <si>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</si>
  <si>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</si>
  <si>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</si>
  <si>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</si>
  <si>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</si>
  <si>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</si>
  <si>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</si>
  <si>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</si>
  <si>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</si>
  <si>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</si>
  <si>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</si>
  <si>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</si>
  <si>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</si>
  <si>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</si>
  <si>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</si>
  <si>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</si>
  <si>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</si>
  <si>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</si>
  <si>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</si>
  <si>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</si>
  <si>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</si>
  <si>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</si>
  <si>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</si>
  <si>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</si>
  <si>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</si>
  <si>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</si>
  <si>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</si>
  <si>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</si>
  <si>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</si>
  <si>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</si>
  <si>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</si>
  <si>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</si>
  <si>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</si>
  <si>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</si>
  <si>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</si>
  <si>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</si>
  <si>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</si>
  <si>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</si>
  <si>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</si>
  <si>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</si>
  <si>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</si>
  <si>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</si>
  <si>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</si>
  <si>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</si>
  <si>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</si>
  <si>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</si>
  <si>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</si>
  <si>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</si>
  <si>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</si>
  <si>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</si>
  <si>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</si>
  <si>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</si>
  <si>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</si>
  <si>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</si>
  <si>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</si>
  <si>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</si>
  <si>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</si>
  <si>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</si>
  <si>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</si>
  <si>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</si>
  <si>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</si>
  <si>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</si>
  <si>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</si>
  <si>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</si>
  <si>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</si>
  <si>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</si>
  <si>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</si>
  <si>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</si>
  <si>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</si>
  <si>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</si>
  <si>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</si>
  <si>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</si>
  <si>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</si>
  <si>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</si>
  <si>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</si>
  <si>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</si>
  <si>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</si>
  <si>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</si>
  <si>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</si>
  <si>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</si>
  <si>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</si>
  <si>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</si>
  <si>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</si>
  <si>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</si>
  <si>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</si>
  <si>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</si>
  <si>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</si>
  <si>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</si>
  <si>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</si>
  <si>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</si>
  <si>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</si>
  <si>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</si>
  <si>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</si>
  <si>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</si>
  <si>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</si>
  <si>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</si>
  <si>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</si>
  <si>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</si>
  <si>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</si>
  <si>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</si>
  <si>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</si>
  <si>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</si>
  <si>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</si>
  <si>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</si>
  <si>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</si>
  <si>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</si>
  <si>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</si>
  <si>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</si>
  <si>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</si>
  <si>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</si>
  <si>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</si>
  <si>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</si>
  <si>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</si>
  <si>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</si>
  <si>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</si>
  <si>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</si>
  <si>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</si>
  <si>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</si>
  <si>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</si>
  <si>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</si>
  <si>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</si>
  <si>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</si>
  <si>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</si>
  <si>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</si>
  <si>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</si>
  <si>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</si>
  <si>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</si>
  <si>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</si>
  <si>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</si>
  <si>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</si>
  <si>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</si>
  <si>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</si>
  <si>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</si>
  <si>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</si>
  <si>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</si>
  <si>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</si>
  <si>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</si>
  <si>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</si>
  <si>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</si>
  <si>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</si>
  <si>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</si>
  <si>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</si>
  <si>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</si>
  <si>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</si>
  <si>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</si>
  <si>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</si>
  <si>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</si>
  <si>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</si>
  <si>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</si>
  <si>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</si>
  <si>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</si>
  <si>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</si>
  <si>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</si>
  <si>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</si>
  <si>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</si>
  <si>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</si>
  <si>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</si>
  <si>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</si>
  <si>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</si>
  <si>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</si>
  <si>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</si>
  <si>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</si>
  <si>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</si>
  <si>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</si>
  <si>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</si>
  <si>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</si>
  <si>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</si>
  <si>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</si>
  <si>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</si>
  <si>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</si>
  <si>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</si>
  <si>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</si>
  <si>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</si>
  <si>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</si>
  <si>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</si>
  <si>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</si>
  <si>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</si>
  <si>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</si>
  <si>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</si>
  <si>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</si>
  <si>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</si>
  <si>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</si>
  <si>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</si>
  <si>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</si>
  <si>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</si>
  <si>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</si>
  <si>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</si>
  <si>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</si>
  <si>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</si>
  <si>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</si>
  <si>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</si>
  <si>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</si>
  <si>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</si>
  <si>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</si>
  <si>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</si>
  <si>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</si>
  <si>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</si>
  <si>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</si>
  <si>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</si>
  <si>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</si>
  <si>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</si>
  <si>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</si>
  <si>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</si>
  <si>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</si>
  <si>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</si>
  <si>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</si>
  <si>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</si>
  <si>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</si>
  <si>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</si>
  <si>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</si>
  <si>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</si>
  <si>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</si>
  <si>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</si>
  <si>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</si>
  <si>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</si>
  <si>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</si>
  <si>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</si>
  <si>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</si>
  <si>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</si>
  <si>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</si>
  <si>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</si>
  <si>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</si>
  <si>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</si>
  <si>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</si>
  <si>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</si>
  <si>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</si>
  <si>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</si>
  <si>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</si>
  <si>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</si>
  <si>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</si>
  <si>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</si>
  <si>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</si>
  <si>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</si>
  <si>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</si>
  <si>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</si>
  <si>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</si>
  <si>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</si>
  <si>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</si>
  <si>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</si>
  <si>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</si>
  <si>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</si>
  <si>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</si>
  <si>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</si>
  <si>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</si>
  <si>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</si>
  <si>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</si>
  <si>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</si>
  <si>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</si>
  <si>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</si>
  <si>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</si>
  <si>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</si>
  <si>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</si>
  <si>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</si>
  <si>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</si>
  <si>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</si>
  <si>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</si>
  <si>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</si>
  <si>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</si>
  <si>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</si>
  <si>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</si>
  <si>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</si>
  <si>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</si>
  <si>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</si>
  <si>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</si>
  <si>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</si>
  <si>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</si>
  <si>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</si>
  <si>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</si>
  <si>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</si>
  <si>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</si>
  <si>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</si>
  <si>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</si>
  <si>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</si>
  <si>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</si>
  <si>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</si>
  <si>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</si>
  <si>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</si>
  <si>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</si>
  <si>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</si>
  <si>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</si>
  <si>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</si>
  <si>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</si>
  <si>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</si>
  <si>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</si>
  <si>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</si>
  <si>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</si>
  <si>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</si>
  <si>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</si>
  <si>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</si>
  <si>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</si>
  <si>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</si>
  <si>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</si>
  <si>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</si>
  <si>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</si>
  <si>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</si>
  <si>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</si>
  <si>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</si>
  <si>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</si>
  <si>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</si>
  <si>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</si>
  <si>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</si>
  <si>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</si>
  <si>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</si>
  <si>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</si>
  <si>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</si>
  <si>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</si>
  <si>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</si>
  <si>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</si>
  <si>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</si>
  <si>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</si>
  <si>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</si>
  <si>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</si>
  <si>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</si>
  <si>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</si>
  <si>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</si>
  <si>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</si>
  <si>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</si>
  <si>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</si>
  <si>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</si>
  <si>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</si>
  <si>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</si>
  <si>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</si>
  <si>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</si>
  <si>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</si>
  <si>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</si>
  <si>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</si>
  <si>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</si>
  <si>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</si>
  <si>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</si>
  <si>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</si>
  <si>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</si>
  <si>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</si>
  <si>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</si>
  <si>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</si>
  <si>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</si>
  <si>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</si>
  <si>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</si>
  <si>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</si>
  <si>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</si>
  <si>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</si>
  <si>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</si>
  <si>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</si>
  <si>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</si>
  <si>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</si>
  <si>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</si>
  <si>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</si>
  <si>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</si>
  <si>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</si>
  <si>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</si>
  <si>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</si>
  <si>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</si>
  <si>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</si>
  <si>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</si>
  <si>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</si>
  <si>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</si>
  <si>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</si>
  <si>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</si>
  <si>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</si>
  <si>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</si>
  <si>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</si>
  <si>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</si>
  <si>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</si>
  <si>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</si>
  <si>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</si>
  <si>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</si>
  <si>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</si>
  <si>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</si>
  <si>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</si>
  <si>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</si>
  <si>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</si>
  <si>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</si>
  <si>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</si>
  <si>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</si>
  <si>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</si>
  <si>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</si>
  <si>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</si>
  <si>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</si>
  <si>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</si>
  <si>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</si>
  <si>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</si>
  <si>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</si>
  <si>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</si>
  <si>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</si>
  <si>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</si>
  <si>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</si>
  <si>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</si>
  <si>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</si>
  <si>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</si>
  <si>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</si>
  <si>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</si>
  <si>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</si>
  <si>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</si>
  <si>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</si>
  <si>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</si>
  <si>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</si>
  <si>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</si>
  <si>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</si>
  <si>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</si>
  <si>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</si>
  <si>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</si>
  <si>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</si>
  <si>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</si>
  <si>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</si>
  <si>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</si>
  <si>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</si>
  <si>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</si>
  <si>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</si>
  <si>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</si>
  <si>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</si>
  <si>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</si>
  <si>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</si>
  <si>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</si>
  <si>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</si>
  <si>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</si>
  <si>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</si>
  <si>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</si>
  <si>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</si>
  <si>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</si>
  <si>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</si>
  <si>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</si>
  <si>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</si>
  <si>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</si>
  <si>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</si>
  <si>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</si>
  <si>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</si>
  <si>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</si>
  <si>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</si>
  <si>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</si>
  <si>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</si>
  <si>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</si>
  <si>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</si>
  <si>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</si>
  <si>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</si>
  <si>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</si>
  <si>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</si>
  <si>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</si>
  <si>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</si>
  <si>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</si>
  <si>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</si>
  <si>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</si>
  <si>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</si>
  <si>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</si>
  <si>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</si>
  <si>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</si>
  <si>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</si>
  <si>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</si>
  <si>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</si>
  <si>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</si>
  <si>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</si>
  <si>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</si>
  <si>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</si>
  <si>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</si>
  <si>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</si>
  <si>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</si>
  <si>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</si>
  <si>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</si>
  <si>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</si>
  <si>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</si>
  <si>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</si>
  <si>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</si>
  <si>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</si>
  <si>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</si>
  <si>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</si>
  <si>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</si>
  <si>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</si>
  <si>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</si>
  <si>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</si>
  <si>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</si>
  <si>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</si>
  <si>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</si>
  <si>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</si>
  <si>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</si>
  <si>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</si>
  <si>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</si>
  <si>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</si>
  <si>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</si>
  <si>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</si>
  <si>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</si>
  <si>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</si>
  <si>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</si>
  <si>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</si>
  <si>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</si>
  <si>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</si>
  <si>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</si>
  <si>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</si>
  <si>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</si>
  <si>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</si>
  <si>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</si>
  <si>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</si>
  <si>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</si>
  <si>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</si>
  <si>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</si>
  <si>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</si>
  <si>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</si>
  <si>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</si>
  <si>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</si>
  <si>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</si>
  <si>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</si>
  <si>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</si>
  <si>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</si>
  <si>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</si>
  <si>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</si>
  <si>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</si>
  <si>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</si>
  <si>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</si>
  <si>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</si>
  <si>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</si>
  <si>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</si>
  <si>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</si>
  <si>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</si>
  <si>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</si>
  <si>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</si>
  <si>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</si>
  <si>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</si>
  <si>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</si>
  <si>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</si>
  <si>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</si>
  <si>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</si>
  <si>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</si>
  <si>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</si>
  <si>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</si>
  <si>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</si>
  <si>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</si>
  <si>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</si>
  <si>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</si>
  <si>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</si>
  <si>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</si>
  <si>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</si>
  <si>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</si>
  <si>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</si>
  <si>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</si>
  <si>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</si>
  <si>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</si>
  <si>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</si>
  <si>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</si>
  <si>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</si>
  <si>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</si>
  <si>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</si>
  <si>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</si>
  <si>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</si>
  <si>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</si>
  <si>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</si>
  <si>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</si>
  <si>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</si>
  <si>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</si>
  <si>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</si>
  <si>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</si>
  <si>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</si>
  <si>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</si>
  <si>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</si>
  <si>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</si>
  <si>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</si>
  <si>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</si>
  <si>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</si>
  <si>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</si>
  <si>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</si>
  <si>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</si>
  <si>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</si>
  <si>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</si>
  <si>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</si>
  <si>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</si>
  <si>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</si>
  <si>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</si>
  <si>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</si>
  <si>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</si>
  <si>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</si>
  <si>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</si>
  <si>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</si>
  <si>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</si>
  <si>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</si>
  <si>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</si>
  <si>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</si>
  <si>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</si>
  <si>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</si>
  <si>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</si>
  <si>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</si>
  <si>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</si>
  <si>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</si>
  <si>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</si>
  <si>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</si>
  <si>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</si>
  <si>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</si>
  <si>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</si>
  <si>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</si>
  <si>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</si>
  <si>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</si>
  <si>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</si>
  <si>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</si>
  <si>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</si>
  <si>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</si>
  <si>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</si>
  <si>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</si>
  <si>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</si>
  <si>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</si>
  <si>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</si>
  <si>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</si>
  <si>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</si>
  <si>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</si>
  <si>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</si>
  <si>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</si>
  <si>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</si>
  <si>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</si>
  <si>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</si>
  <si>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</si>
  <si>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</si>
  <si>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</si>
  <si>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</si>
  <si>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</si>
  <si>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</si>
  <si>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</si>
  <si>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</si>
  <si>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</si>
  <si>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</si>
  <si>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</si>
  <si>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</si>
  <si>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</si>
  <si>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</si>
  <si>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</si>
  <si>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</si>
  <si>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</si>
  <si>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</si>
  <si>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</si>
  <si>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</si>
  <si>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</si>
  <si>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</si>
  <si>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</si>
  <si>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</si>
  <si>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</si>
  <si>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</si>
  <si>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</si>
  <si>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</si>
  <si>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</si>
  <si>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</si>
  <si>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</si>
  <si>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</si>
  <si>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</si>
  <si>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</si>
  <si>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</si>
  <si>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</si>
  <si>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</si>
  <si>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</si>
  <si>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</si>
  <si>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</si>
  <si>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</si>
  <si>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</si>
  <si>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</si>
  <si>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</si>
  <si>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</si>
  <si>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</si>
  <si>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</si>
  <si>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</si>
  <si>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</si>
  <si>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</si>
  <si>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</si>
  <si>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</si>
  <si>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</si>
  <si>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</si>
  <si>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</si>
  <si>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</si>
  <si>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</si>
  <si>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</si>
  <si>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</si>
  <si>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</si>
  <si>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</si>
  <si>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</si>
  <si>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</si>
  <si>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</si>
  <si>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</si>
  <si>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</si>
  <si>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</si>
  <si>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</si>
  <si>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</si>
  <si>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</si>
  <si>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</si>
  <si>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</si>
  <si>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</si>
  <si>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</si>
  <si>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</si>
  <si>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</si>
  <si>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</si>
  <si>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</si>
  <si>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</si>
  <si>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</si>
  <si>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</si>
  <si>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</si>
  <si>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</si>
  <si>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</si>
  <si>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</si>
  <si>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</si>
  <si>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</si>
  <si>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</si>
  <si>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</si>
  <si>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</si>
  <si>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</si>
  <si>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</si>
  <si>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</si>
  <si>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</si>
  <si>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</si>
  <si>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</si>
  <si>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</si>
  <si>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</si>
  <si>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</si>
  <si>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</si>
  <si>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</si>
  <si>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</si>
  <si>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</si>
  <si>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</si>
  <si>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</si>
  <si>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</si>
  <si>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</si>
  <si>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</si>
  <si>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</si>
  <si>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</si>
  <si>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</si>
  <si>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</si>
  <si>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</si>
  <si>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</si>
  <si>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</si>
  <si>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</si>
  <si>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</si>
  <si>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</si>
  <si>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</si>
  <si>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</si>
  <si>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</si>
  <si>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</si>
  <si>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</si>
  <si>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</si>
  <si>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</si>
  <si>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</si>
  <si>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</si>
  <si>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</si>
  <si>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</si>
  <si>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</si>
  <si>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</si>
  <si>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</si>
  <si>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</si>
  <si>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</si>
  <si>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</si>
  <si>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</si>
  <si>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</si>
  <si>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</si>
  <si>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</si>
  <si>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</si>
  <si>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</si>
  <si>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</si>
  <si>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</si>
  <si>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</si>
  <si>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</si>
  <si>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</si>
  <si>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</si>
  <si>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</si>
  <si>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</si>
  <si>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</si>
  <si>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</si>
  <si>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</si>
  <si>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</si>
  <si>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</si>
  <si>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</si>
  <si>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</si>
  <si>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</si>
  <si>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</si>
  <si>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</si>
  <si>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</si>
  <si>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</si>
  <si>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</si>
  <si>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</si>
  <si>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</si>
  <si>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</si>
  <si>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</si>
  <si>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</si>
  <si>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</si>
  <si>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</si>
  <si>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</si>
  <si>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</si>
  <si>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</si>
  <si>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</si>
  <si>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</si>
  <si>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</si>
  <si>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</si>
  <si>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</si>
  <si>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</si>
  <si>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</si>
  <si>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</si>
  <si>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</si>
  <si>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</si>
  <si>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</si>
  <si>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</si>
  <si>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</si>
  <si>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</si>
  <si>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</si>
  <si>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</si>
  <si>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</si>
  <si>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</si>
  <si>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</si>
  <si>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</si>
  <si>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</si>
  <si>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</si>
  <si>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</si>
  <si>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</si>
  <si>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</si>
  <si>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</si>
  <si>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</si>
  <si>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</si>
  <si>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</si>
  <si>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</si>
  <si>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</si>
  <si>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</si>
  <si>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</si>
  <si>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</si>
  <si>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</si>
  <si>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</si>
  <si>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</si>
  <si>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</si>
  <si>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</si>
  <si>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</si>
  <si>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</si>
  <si>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</si>
  <si>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</si>
  <si>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</si>
  <si>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</si>
  <si>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</si>
  <si>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</si>
  <si>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</si>
  <si>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</si>
  <si>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</si>
  <si>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</si>
  <si>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</si>
  <si>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</si>
  <si>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</si>
  <si>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</si>
  <si>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</si>
  <si>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</si>
  <si>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</si>
  <si>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</si>
  <si>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</si>
  <si>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</si>
  <si>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</si>
  <si>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</si>
  <si>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</si>
  <si>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</si>
  <si>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</si>
  <si>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</si>
  <si>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</si>
  <si>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</si>
  <si>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</si>
  <si>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</si>
  <si>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</si>
  <si>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</si>
  <si>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</si>
  <si>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</si>
  <si>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</si>
  <si>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</si>
  <si>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</si>
  <si>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</si>
  <si>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</si>
  <si>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</si>
  <si>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</si>
  <si>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</si>
  <si>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</si>
  <si>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</si>
  <si>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</si>
  <si>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</si>
  <si>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</si>
  <si>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</si>
  <si>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</si>
  <si>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</si>
  <si>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</si>
  <si>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</si>
  <si>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</si>
  <si>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</si>
  <si>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</si>
  <si>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</si>
  <si>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</si>
  <si>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</si>
  <si>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</si>
  <si>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</si>
  <si>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</si>
  <si>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</si>
  <si>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</si>
  <si>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</si>
  <si>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</si>
  <si>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</si>
  <si>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</si>
  <si>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</si>
  <si>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</si>
  <si>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</si>
  <si>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</si>
  <si>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</si>
  <si>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</si>
  <si>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</si>
  <si>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</si>
  <si>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</si>
  <si>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</si>
  <si>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</si>
  <si>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</si>
  <si>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</si>
  <si>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</si>
  <si>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</si>
  <si>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</si>
  <si>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</si>
  <si>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</si>
  <si>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</si>
  <si>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</si>
  <si>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</si>
  <si>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</si>
  <si>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</si>
  <si>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</si>
  <si>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</si>
  <si>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</si>
  <si>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</si>
  <si>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</si>
  <si>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</si>
  <si>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</si>
  <si>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</si>
  <si>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</si>
  <si>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</si>
  <si>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</si>
  <si>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</si>
  <si>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</si>
  <si>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</si>
  <si>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</si>
  <si>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</si>
  <si>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</si>
  <si>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</si>
  <si>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</si>
  <si>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</si>
  <si>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</si>
  <si>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</si>
  <si>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</si>
  <si>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</si>
  <si>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</si>
  <si>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</si>
  <si>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</si>
  <si>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</si>
  <si>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</si>
  <si>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</si>
  <si>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</si>
  <si>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</si>
  <si>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</si>
  <si>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</si>
  <si>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</si>
  <si>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</si>
  <si>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</si>
  <si>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</si>
  <si>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</si>
  <si>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</si>
  <si>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</si>
  <si>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</si>
  <si>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</si>
  <si>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</si>
  <si>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</si>
  <si>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</si>
  <si>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</si>
  <si>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</si>
  <si>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</si>
  <si>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</si>
  <si>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</si>
  <si>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</si>
  <si>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</si>
  <si>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</si>
  <si>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</si>
  <si>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</si>
  <si>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</si>
  <si>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</si>
  <si>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</si>
  <si>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</si>
  <si>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</si>
  <si>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</si>
  <si>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</si>
  <si>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</si>
  <si>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</si>
  <si>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</si>
  <si>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</si>
  <si>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</si>
  <si>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</si>
  <si>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</si>
  <si>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</si>
  <si>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</si>
  <si>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</si>
  <si>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</si>
  <si>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</si>
  <si>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</si>
  <si>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</si>
  <si>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</si>
  <si>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</si>
  <si>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</si>
  <si>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</si>
  <si>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</si>
  <si>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</si>
  <si>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</si>
  <si>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</si>
  <si>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</si>
  <si>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</si>
  <si>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</si>
  <si>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</si>
  <si>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</si>
  <si>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</si>
  <si>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</si>
  <si>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</si>
  <si>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</si>
  <si>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</si>
  <si>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</si>
  <si>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</si>
  <si>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</si>
  <si>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</si>
  <si>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</si>
  <si>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</si>
  <si>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</si>
  <si>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</si>
  <si>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</si>
  <si>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</si>
  <si>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</si>
  <si>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</si>
  <si>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</si>
  <si>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</si>
  <si>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</si>
  <si>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</si>
  <si>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</si>
  <si>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</si>
  <si>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</si>
  <si>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</si>
  <si>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</si>
  <si>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</si>
  <si>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</si>
  <si>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</si>
  <si>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</si>
  <si>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</si>
  <si>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</si>
  <si>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</si>
  <si>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</si>
  <si>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</si>
  <si>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</si>
  <si>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</si>
  <si>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</si>
  <si>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</si>
  <si>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</si>
  <si>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</si>
  <si>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</si>
  <si>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</si>
  <si>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</si>
  <si>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</si>
  <si>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</si>
  <si>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</si>
  <si>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</si>
  <si>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</si>
  <si>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</si>
  <si>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</si>
  <si>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</si>
  <si>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</si>
  <si>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</si>
  <si>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</si>
  <si>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</si>
  <si>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</si>
  <si>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</si>
  <si>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</si>
  <si>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</si>
  <si>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</si>
  <si>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</si>
  <si>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</si>
  <si>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</si>
  <si>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</si>
  <si>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</si>
  <si>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</si>
  <si>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</si>
  <si>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</si>
  <si>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</si>
  <si>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</si>
  <si>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</si>
  <si>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</si>
  <si>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</si>
  <si>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</si>
  <si>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</si>
  <si>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</si>
  <si>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</si>
  <si>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</si>
  <si>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</si>
  <si>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</si>
  <si>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</si>
  <si>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</si>
  <si>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</si>
  <si>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</si>
  <si>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</si>
  <si>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</si>
  <si>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</si>
  <si>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</si>
  <si>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</si>
  <si>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</si>
  <si>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</si>
  <si>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</si>
  <si>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</si>
  <si>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</si>
  <si>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</si>
  <si>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</si>
  <si>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</si>
  <si>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</si>
  <si>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</si>
  <si>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</si>
  <si>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</si>
  <si>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</si>
  <si>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</si>
  <si>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</si>
  <si>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</si>
  <si>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</si>
  <si>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</si>
  <si>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</si>
  <si>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</si>
  <si>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</si>
  <si>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</si>
  <si>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</si>
  <si>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</si>
  <si>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</si>
  <si>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</si>
  <si>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</si>
  <si>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</si>
  <si>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</si>
  <si>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</si>
  <si>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</si>
  <si>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</si>
  <si>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</si>
  <si>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</si>
  <si>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</si>
  <si>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</si>
  <si>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</si>
  <si>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</si>
  <si>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</si>
  <si>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</si>
  <si>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</si>
  <si>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</si>
  <si>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</si>
  <si>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</si>
  <si>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</si>
  <si>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</si>
  <si>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</si>
  <si>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</si>
  <si>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</si>
  <si>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</si>
  <si>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</si>
  <si>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</si>
  <si>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</si>
  <si>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</si>
  <si>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</si>
  <si>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</si>
  <si>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</si>
  <si>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</si>
  <si>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</si>
  <si>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</si>
  <si>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</si>
  <si>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</si>
  <si>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</si>
  <si>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</si>
  <si>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</si>
  <si>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</si>
  <si>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</si>
  <si>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</si>
  <si>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</si>
  <si>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</si>
  <si>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</si>
  <si>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</si>
  <si>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</si>
  <si>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</si>
  <si>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</si>
  <si>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</si>
  <si>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</si>
  <si>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</si>
  <si>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</si>
  <si>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</si>
  <si>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</si>
  <si>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</si>
  <si>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</si>
  <si>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</si>
  <si>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</si>
  <si>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</si>
  <si>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</si>
  <si>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</si>
  <si>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</si>
  <si>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</si>
  <si>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</si>
  <si>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</si>
  <si>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</si>
  <si>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</si>
  <si>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</si>
  <si>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</si>
  <si>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</si>
  <si>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</si>
  <si>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</si>
  <si>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</si>
  <si>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</si>
  <si>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</si>
  <si>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</si>
  <si>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</si>
  <si>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</si>
  <si>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</si>
  <si>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</si>
  <si>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</si>
  <si>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</si>
  <si>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</si>
  <si>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</si>
  <si>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</si>
  <si>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</si>
  <si>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</si>
  <si>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</si>
  <si>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</si>
  <si>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</si>
  <si>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</si>
  <si>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</si>
  <si>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</si>
  <si>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</si>
  <si>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</si>
  <si>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</si>
  <si>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</si>
  <si>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</si>
  <si>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</si>
  <si>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</si>
  <si>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</si>
  <si>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</si>
  <si>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</si>
  <si>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</si>
  <si>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</si>
  <si>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</si>
  <si>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</si>
  <si>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</si>
  <si>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</si>
  <si>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</si>
  <si>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</si>
  <si>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</si>
  <si>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</si>
  <si>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</si>
  <si>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</si>
  <si>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</si>
  <si>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</si>
  <si>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</si>
  <si>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</si>
  <si>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</si>
  <si>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</si>
  <si>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</si>
  <si>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</si>
  <si>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</si>
  <si>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</si>
  <si>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</si>
  <si>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</si>
  <si>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</si>
  <si>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</si>
  <si>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</si>
  <si>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</si>
  <si>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</si>
  <si>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</si>
  <si>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</si>
  <si>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</si>
  <si>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</si>
  <si>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</si>
  <si>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</si>
  <si>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</si>
  <si>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</si>
  <si>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</si>
  <si>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</si>
  <si>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</si>
  <si>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</si>
  <si>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</si>
  <si>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</si>
  <si>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</si>
  <si>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</si>
  <si>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</si>
  <si>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</si>
  <si>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</si>
  <si>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</si>
  <si>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</si>
  <si>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</si>
  <si>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</si>
  <si>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</si>
  <si>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</si>
  <si>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</si>
  <si>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</si>
  <si>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</si>
  <si>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</si>
  <si>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</si>
  <si>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</si>
  <si>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</si>
  <si>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</si>
  <si>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</si>
  <si>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</si>
  <si>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</si>
  <si>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</si>
  <si>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</si>
  <si>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</si>
  <si>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</si>
  <si>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</si>
  <si>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</si>
  <si>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</si>
  <si>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</si>
  <si>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</si>
  <si>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</si>
  <si>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</si>
  <si>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</si>
  <si>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</si>
  <si>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</si>
  <si>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</si>
  <si>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</si>
  <si>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</si>
  <si>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</si>
  <si>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</si>
  <si>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</si>
  <si>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</si>
  <si>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</si>
  <si>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</si>
  <si>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</si>
  <si>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</si>
  <si>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</si>
  <si>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</si>
  <si>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</si>
  <si>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</si>
  <si>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</si>
  <si>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</si>
  <si>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</si>
  <si>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</si>
  <si>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</si>
  <si>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</si>
  <si>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</si>
  <si>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</si>
  <si>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</si>
  <si>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</si>
  <si>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</si>
  <si>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</si>
  <si>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</si>
  <si>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</si>
  <si>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</si>
  <si>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</si>
  <si>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</si>
  <si>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</si>
  <si>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</si>
  <si>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</si>
  <si>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</si>
  <si>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</si>
  <si>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</si>
  <si>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</si>
  <si>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</si>
  <si>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</si>
  <si>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</si>
  <si>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</si>
  <si>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</si>
  <si>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</si>
  <si>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</si>
  <si>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</si>
  <si>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</si>
  <si>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</si>
  <si>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</si>
  <si>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</si>
  <si>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</si>
  <si>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</si>
  <si>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</si>
  <si>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</si>
  <si>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</si>
  <si>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</si>
  <si>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</si>
  <si>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</si>
  <si>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</si>
  <si>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</si>
  <si>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</si>
  <si>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</si>
  <si>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</si>
  <si>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</si>
  <si>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</si>
  <si>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</si>
  <si>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</si>
  <si>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</si>
  <si>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</si>
  <si>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</si>
  <si>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</si>
  <si>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</si>
  <si>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</si>
  <si>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</si>
  <si>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</si>
  <si>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</si>
  <si>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</si>
  <si>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</si>
  <si>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</si>
  <si>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</si>
  <si>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</si>
  <si>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</si>
  <si>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</si>
  <si>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</si>
  <si>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</si>
  <si>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</si>
  <si>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</si>
  <si>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</si>
  <si>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</si>
  <si>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</si>
  <si>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</si>
  <si>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</si>
  <si>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</si>
  <si>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</si>
  <si>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</si>
  <si>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</si>
  <si>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</si>
  <si>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</si>
  <si>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</si>
  <si>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</si>
  <si>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</si>
  <si>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</si>
  <si>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</si>
  <si>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</si>
  <si>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</si>
  <si>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</si>
  <si>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</si>
  <si>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</si>
  <si>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</si>
  <si>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</si>
  <si>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</si>
  <si>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</si>
  <si>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</si>
  <si>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</si>
  <si>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</si>
  <si>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</si>
  <si>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</si>
  <si>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</si>
  <si>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</si>
  <si>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</si>
  <si>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</si>
  <si>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</si>
  <si>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</si>
  <si>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</si>
  <si>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</si>
  <si>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</si>
  <si>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</si>
  <si>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</si>
  <si>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</si>
  <si>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</si>
  <si>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</si>
  <si>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</si>
  <si>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</si>
  <si>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</si>
  <si>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</si>
  <si>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</si>
  <si>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</si>
  <si>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</si>
  <si>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</si>
  <si>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</si>
  <si>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</si>
  <si>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</si>
  <si>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</si>
  <si>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</si>
  <si>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</si>
  <si>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</si>
  <si>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</si>
  <si>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</si>
  <si>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</si>
  <si>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</si>
  <si>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</si>
  <si>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</si>
  <si>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</si>
  <si>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</si>
  <si>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</si>
  <si>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</si>
  <si>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</si>
  <si>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</si>
  <si>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</si>
  <si>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</si>
  <si>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</si>
  <si>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</si>
  <si>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</si>
  <si>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</si>
  <si>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</si>
  <si>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</si>
  <si>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</si>
  <si>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</si>
  <si>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</si>
  <si>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</si>
  <si>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</si>
  <si>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</si>
  <si>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</si>
  <si>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</si>
  <si>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</si>
  <si>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</si>
  <si>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</si>
  <si>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</si>
  <si>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</si>
  <si>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</si>
  <si>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</si>
  <si>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</si>
  <si>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</si>
  <si>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</si>
  <si>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</si>
  <si>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</si>
  <si>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</si>
  <si>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</si>
  <si>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</si>
  <si>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</si>
  <si>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</si>
  <si>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</si>
  <si>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</si>
  <si>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</si>
  <si>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</si>
  <si>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</si>
  <si>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</si>
  <si>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</si>
  <si>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</si>
  <si>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</si>
  <si>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</si>
  <si>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</si>
  <si>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</si>
  <si>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</si>
  <si>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</si>
  <si>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</si>
  <si>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</si>
  <si>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</si>
  <si>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</si>
  <si>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</si>
  <si>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</si>
  <si>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</si>
  <si>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</si>
  <si>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</si>
  <si>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</si>
  <si>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</si>
  <si>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</si>
  <si>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</si>
  <si>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</si>
  <si>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</si>
  <si>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</si>
  <si>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</si>
  <si>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</si>
  <si>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</si>
  <si>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</si>
  <si>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</si>
  <si>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</si>
  <si>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</si>
  <si>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</si>
  <si>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</si>
  <si>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</si>
  <si>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</si>
  <si>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</si>
  <si>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</si>
  <si>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</si>
  <si>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</si>
  <si>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</si>
  <si>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</si>
  <si>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</si>
  <si>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</si>
  <si>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</si>
  <si>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</si>
  <si>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</si>
  <si>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</si>
  <si>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</si>
  <si>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</si>
  <si>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</si>
  <si>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</si>
  <si>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</si>
  <si>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</si>
  <si>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</si>
  <si>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</si>
  <si>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</si>
  <si>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</si>
  <si>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</si>
  <si>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</si>
  <si>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</si>
  <si>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</si>
  <si>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</si>
  <si>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</si>
  <si>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</si>
  <si>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</si>
  <si>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</si>
  <si>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</si>
  <si>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</si>
  <si>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</si>
  <si>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</si>
  <si>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</si>
  <si>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</si>
  <si>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</si>
  <si>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</si>
  <si>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</si>
  <si>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</si>
  <si>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</si>
  <si>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</si>
  <si>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</si>
  <si>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</si>
  <si>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</si>
  <si>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</si>
  <si>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</si>
  <si>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</si>
  <si>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</si>
  <si>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</si>
  <si>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</si>
  <si>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</si>
  <si>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</si>
  <si>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</si>
  <si>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</si>
  <si>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</si>
  <si>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</si>
  <si>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</si>
  <si>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</si>
  <si>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</si>
  <si>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</si>
  <si>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</si>
  <si>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</si>
  <si>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</si>
  <si>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</si>
  <si>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</si>
  <si>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</si>
  <si>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</si>
  <si>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</si>
  <si>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</si>
  <si>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</si>
  <si>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</si>
  <si>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</si>
  <si>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</si>
  <si>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</si>
  <si>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</si>
  <si>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</si>
  <si>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</si>
  <si>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</si>
  <si>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</si>
  <si>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</si>
  <si>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</si>
  <si>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</si>
  <si>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</si>
  <si>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</si>
  <si>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</si>
  <si>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</si>
  <si>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</si>
  <si>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</si>
  <si>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</si>
  <si>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</si>
  <si>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</si>
  <si>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</si>
  <si>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</si>
  <si>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</si>
  <si>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</si>
  <si>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</si>
  <si>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</si>
  <si>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</si>
  <si>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</si>
  <si>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</si>
  <si>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</si>
  <si>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</si>
  <si>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</si>
  <si>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</si>
  <si>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</si>
  <si>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</si>
  <si>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</si>
  <si>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</si>
  <si>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</si>
  <si>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</si>
  <si>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</si>
  <si>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</si>
  <si>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</si>
  <si>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</si>
  <si>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</si>
  <si>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</si>
  <si>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</si>
  <si>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</si>
  <si>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</si>
  <si>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</si>
  <si>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</si>
  <si>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</si>
  <si>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</si>
  <si>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</si>
  <si>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</si>
  <si>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</si>
  <si>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</si>
  <si>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</si>
  <si>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</si>
  <si>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</si>
  <si>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</si>
  <si>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</si>
  <si>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</si>
  <si>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</si>
  <si>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</si>
  <si>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</si>
  <si>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</si>
  <si>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</si>
  <si>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</si>
  <si>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</si>
  <si>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</si>
  <si>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</si>
  <si>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</si>
  <si>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</si>
  <si>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</si>
  <si>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</si>
  <si>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</si>
  <si>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</si>
  <si>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</si>
  <si>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</si>
  <si>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</si>
  <si>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</si>
  <si>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</si>
  <si>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</si>
  <si>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</si>
  <si>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</si>
  <si>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</si>
  <si>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</si>
  <si>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</si>
  <si>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</si>
  <si>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</si>
  <si>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</si>
  <si>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</si>
  <si>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</si>
  <si>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</si>
  <si>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</si>
  <si>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</si>
  <si>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</si>
  <si>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</si>
  <si>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</si>
  <si>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</si>
  <si>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</si>
  <si>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</si>
  <si>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</si>
  <si>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</si>
  <si>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</si>
  <si>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</si>
  <si>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</si>
  <si>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</si>
  <si>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</si>
  <si>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</si>
  <si>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</si>
  <si>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</si>
  <si>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</si>
  <si>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</si>
  <si>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</si>
  <si>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</si>
  <si>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</si>
  <si>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</si>
  <si>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</si>
  <si>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</si>
  <si>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</si>
  <si>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</si>
  <si>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</si>
  <si>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</si>
  <si>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</si>
  <si>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</si>
  <si>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</si>
  <si>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</si>
  <si>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</si>
  <si>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</si>
  <si>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</si>
  <si>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</si>
  <si>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</si>
  <si>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</si>
  <si>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</si>
  <si>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</si>
  <si>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</si>
  <si>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</si>
  <si>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</si>
  <si>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</si>
  <si>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</si>
  <si>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</si>
  <si>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</si>
  <si>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</si>
  <si>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</si>
  <si>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</si>
  <si>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</si>
  <si>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</si>
  <si>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</si>
  <si>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</si>
  <si>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</si>
  <si>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</si>
  <si>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</si>
  <si>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</si>
  <si>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</si>
  <si>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</si>
  <si>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</si>
  <si>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</si>
  <si>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</si>
  <si>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</si>
  <si>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</si>
  <si>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</si>
  <si>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</si>
  <si>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</si>
  <si>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</si>
  <si>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</si>
  <si>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</si>
  <si>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</si>
  <si>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</si>
  <si>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</si>
  <si>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</si>
  <si>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</si>
  <si>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</si>
  <si>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</si>
  <si>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</si>
  <si>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</si>
  <si>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</si>
  <si>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</si>
  <si>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</si>
  <si>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</si>
  <si>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</si>
  <si>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</si>
  <si>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</si>
  <si>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</si>
  <si>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</si>
  <si>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</si>
  <si>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</si>
  <si>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</si>
  <si>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</si>
  <si>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</si>
  <si>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</si>
  <si>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</si>
  <si>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</si>
  <si>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</si>
  <si>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</si>
  <si>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</si>
  <si>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</si>
  <si>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</si>
  <si>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</si>
  <si>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</si>
  <si>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</si>
  <si>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</si>
  <si>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</si>
  <si>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</si>
  <si>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</si>
  <si>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</si>
  <si>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</si>
  <si>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</si>
  <si>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</si>
  <si>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</si>
  <si>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</si>
  <si>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</si>
  <si>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</si>
  <si>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</si>
  <si>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</si>
  <si>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</si>
  <si>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</si>
  <si>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</si>
  <si>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</si>
  <si>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</si>
  <si>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</si>
  <si>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</si>
  <si>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</si>
  <si>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</si>
  <si>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</si>
  <si>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</si>
  <si>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</si>
  <si>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</si>
  <si>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</si>
  <si>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</si>
  <si>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</si>
  <si>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</si>
  <si>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</si>
  <si>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</si>
  <si>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</si>
  <si>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</si>
  <si>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</si>
  <si>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</si>
  <si>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</si>
  <si>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</si>
  <si>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</si>
  <si>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</si>
  <si>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</si>
  <si>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</si>
  <si>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</si>
  <si>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</si>
  <si>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</si>
  <si>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</si>
  <si>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</si>
  <si>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</si>
  <si>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</si>
  <si>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</si>
  <si>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</si>
  <si>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</si>
  <si>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</si>
  <si>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</si>
  <si>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</si>
  <si>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</si>
  <si>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</si>
  <si>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</si>
  <si>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</si>
  <si>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</si>
  <si>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</si>
  <si>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</si>
  <si>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</si>
  <si>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</si>
  <si>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</si>
  <si>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</si>
  <si>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</si>
  <si>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</si>
  <si>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</si>
  <si>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</si>
  <si>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</si>
  <si>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</si>
  <si>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</si>
  <si>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</si>
  <si>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</si>
  <si>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</si>
  <si>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</si>
  <si>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</si>
  <si>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</si>
  <si>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</si>
  <si>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</si>
  <si>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</si>
  <si>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</si>
  <si>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</si>
  <si>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</si>
  <si>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</si>
  <si>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</si>
  <si>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</si>
  <si>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</si>
  <si>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</si>
  <si>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</si>
  <si>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</si>
  <si>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</si>
  <si>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</si>
  <si>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</si>
  <si>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</si>
  <si>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</si>
  <si>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</si>
  <si>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</si>
  <si>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</si>
  <si>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</si>
  <si>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</si>
  <si>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</si>
  <si>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</si>
  <si>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</si>
  <si>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</si>
  <si>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</si>
  <si>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</si>
  <si>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</si>
  <si>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</si>
  <si>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</si>
  <si>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</si>
  <si>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</si>
  <si>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</si>
  <si>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</si>
  <si>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</si>
  <si>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</si>
  <si>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</si>
  <si>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</si>
  <si>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</si>
  <si>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</si>
  <si>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</si>
  <si>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</si>
  <si>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</si>
  <si>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</si>
  <si>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</si>
  <si>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</si>
  <si>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</si>
  <si>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</si>
  <si>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</si>
  <si>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</si>
  <si>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</si>
  <si>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</si>
  <si>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</si>
  <si>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</si>
  <si>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</si>
  <si>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</si>
  <si>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</si>
  <si>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</si>
  <si>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</si>
  <si>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</si>
  <si>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</si>
  <si>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</si>
  <si>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</si>
  <si>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</si>
  <si>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</si>
  <si>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</si>
  <si>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</si>
  <si>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</si>
  <si>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</si>
  <si>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</si>
  <si>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</si>
  <si>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</si>
  <si>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</si>
  <si>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</si>
  <si>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</si>
  <si>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</si>
  <si>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</si>
  <si>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</si>
  <si>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</si>
  <si>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</si>
  <si>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</si>
  <si>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</si>
  <si>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</si>
  <si>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</si>
  <si>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</si>
  <si>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</si>
  <si>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</si>
  <si>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</si>
  <si>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</si>
  <si>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</si>
  <si>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</si>
  <si>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</si>
  <si>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</si>
  <si>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</si>
  <si>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</si>
  <si>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</si>
  <si>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</si>
  <si>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</si>
  <si>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</si>
  <si>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</si>
  <si>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</si>
  <si>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</si>
  <si>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</si>
  <si>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</si>
  <si>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</si>
  <si>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</si>
  <si>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</si>
  <si>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</si>
  <si>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</si>
  <si>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</si>
  <si>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</si>
  <si>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</si>
  <si>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</si>
  <si>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</si>
  <si>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</si>
  <si>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</si>
  <si>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</si>
  <si>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</si>
  <si>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</si>
  <si>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</si>
  <si>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</si>
  <si>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</si>
  <si>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</si>
  <si>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</si>
  <si>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</si>
  <si>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</si>
  <si>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</si>
  <si>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</si>
  <si>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</si>
  <si>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</si>
  <si>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</si>
  <si>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</si>
  <si>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</si>
  <si>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</si>
  <si>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</si>
  <si>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</si>
  <si>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</si>
  <si>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</si>
  <si>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</si>
  <si>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</si>
  <si>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</si>
  <si>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</si>
  <si>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</si>
  <si>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</si>
  <si>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</si>
  <si>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</si>
  <si>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</si>
  <si>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</si>
  <si>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</si>
  <si>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</si>
  <si>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</si>
  <si>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</si>
  <si>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</si>
  <si>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</si>
  <si>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</si>
  <si>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</si>
  <si>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</si>
  <si>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</si>
  <si>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</si>
  <si>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</si>
  <si>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</si>
  <si>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</si>
  <si>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</si>
  <si>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</si>
  <si>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</si>
  <si>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</si>
  <si>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</si>
  <si>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</si>
  <si>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</si>
  <si>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</si>
  <si>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</si>
  <si>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</si>
  <si>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</si>
  <si>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</si>
  <si>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</si>
  <si>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</si>
  <si>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</si>
  <si>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</si>
  <si>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</si>
  <si>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</si>
  <si>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</si>
  <si>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</si>
  <si>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</si>
  <si>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</si>
  <si>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</si>
  <si>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</si>
  <si>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</si>
  <si>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</si>
  <si>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</si>
  <si>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</si>
  <si>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</si>
  <si>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</si>
  <si>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</si>
  <si>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</si>
  <si>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</si>
  <si>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</si>
  <si>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</si>
  <si>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</si>
  <si>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</si>
  <si>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</si>
  <si>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</si>
  <si>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</si>
  <si>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</si>
  <si>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</si>
  <si>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</si>
  <si>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</si>
  <si>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</si>
  <si>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</si>
  <si>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</si>
  <si>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</si>
  <si>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</si>
  <si>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</si>
  <si>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</si>
  <si>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</si>
  <si>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</si>
  <si>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</si>
  <si>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</si>
  <si>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</si>
  <si>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</si>
  <si>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</si>
  <si>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</si>
  <si>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</si>
  <si>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</si>
  <si>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</si>
  <si>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</si>
  <si>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</si>
  <si>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</si>
  <si>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</si>
  <si>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</si>
  <si>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</si>
  <si>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</si>
  <si>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</si>
  <si>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</si>
  <si>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</si>
  <si>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</si>
  <si>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</si>
  <si>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</si>
  <si>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</si>
  <si>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</si>
  <si>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</si>
  <si>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</si>
  <si>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</si>
  <si>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</si>
  <si>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</si>
  <si>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</si>
  <si>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</si>
  <si>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</si>
  <si>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</si>
  <si>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</si>
  <si>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</si>
  <si>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</si>
  <si>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</si>
  <si>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</si>
  <si>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</si>
  <si>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</si>
  <si>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</si>
  <si>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</si>
  <si>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</si>
  <si>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</si>
  <si>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</si>
  <si>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</si>
  <si>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</si>
  <si>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</si>
  <si>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</si>
  <si>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</si>
  <si>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</si>
  <si>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</si>
  <si>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</si>
  <si>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</si>
  <si>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</si>
  <si>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</si>
  <si>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</si>
  <si>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</si>
  <si>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</si>
  <si>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</si>
  <si>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</si>
  <si>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</si>
  <si>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</si>
  <si>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</si>
  <si>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</si>
  <si>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</si>
  <si>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</si>
  <si>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</si>
  <si>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</si>
  <si>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</si>
  <si>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</si>
  <si>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</si>
  <si>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</si>
  <si>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</si>
  <si>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</si>
  <si>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</si>
  <si>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</si>
  <si>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</si>
  <si>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</si>
  <si>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</si>
  <si>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</si>
  <si>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</si>
  <si>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</si>
  <si>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</si>
  <si>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</si>
  <si>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</si>
  <si>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</si>
  <si>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</si>
  <si>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</si>
  <si>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</si>
  <si>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</si>
  <si>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</si>
  <si>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</si>
  <si>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</si>
  <si>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</si>
  <si>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</si>
  <si>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</si>
  <si>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</si>
  <si>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</si>
  <si>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</si>
  <si>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</si>
  <si>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</si>
  <si>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</si>
  <si>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</si>
  <si>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</si>
  <si>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</si>
  <si>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</si>
  <si>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</si>
  <si>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</si>
  <si>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</si>
  <si>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</si>
  <si>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</si>
  <si>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</si>
  <si>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</si>
  <si>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</si>
  <si>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</si>
  <si>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</si>
  <si>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</si>
  <si>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</si>
  <si>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</si>
  <si>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</si>
  <si>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</si>
  <si>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</si>
  <si>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</si>
  <si>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</si>
  <si>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</si>
  <si>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</si>
  <si>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</si>
  <si>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</si>
  <si>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</si>
  <si>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</si>
  <si>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</si>
  <si>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</si>
  <si>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</si>
  <si>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</si>
  <si>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</si>
  <si>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</si>
  <si>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</si>
  <si>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</si>
  <si>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</si>
  <si>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</si>
  <si>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</si>
  <si>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</si>
  <si>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</si>
  <si>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</si>
  <si>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</si>
  <si>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</si>
  <si>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</si>
  <si>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</si>
  <si>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</si>
  <si>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</si>
  <si>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</si>
  <si>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</si>
  <si>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</si>
  <si>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</si>
  <si>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</si>
  <si>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</si>
  <si>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</si>
  <si>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</si>
  <si>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</si>
  <si>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</si>
  <si>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</si>
  <si>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</si>
  <si>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</si>
  <si>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</si>
  <si>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</si>
  <si>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</si>
  <si>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</si>
  <si>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</si>
  <si>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</si>
  <si>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</si>
  <si>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</si>
  <si>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</si>
  <si>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</si>
  <si>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</si>
  <si>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</si>
  <si>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</si>
  <si>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</si>
  <si>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</si>
  <si>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</si>
  <si>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</si>
  <si>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</si>
  <si>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</si>
  <si>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</si>
  <si>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</si>
  <si>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</si>
  <si>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</si>
  <si>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</si>
  <si>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</si>
  <si>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</si>
  <si>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</si>
  <si>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</si>
  <si>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</si>
  <si>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</si>
  <si>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</si>
  <si>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</si>
  <si>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</si>
  <si>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</si>
  <si>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</si>
  <si>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</si>
  <si>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</si>
  <si>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</si>
  <si>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</si>
  <si>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</si>
  <si>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</si>
  <si>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</si>
  <si>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</si>
  <si>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</si>
  <si>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</si>
  <si>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</si>
  <si>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</si>
  <si>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</si>
  <si>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</si>
  <si>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</si>
  <si>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</si>
  <si>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</si>
  <si>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</si>
  <si>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</si>
  <si>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</si>
  <si>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</si>
  <si>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</si>
  <si>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</si>
  <si>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</si>
  <si>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</si>
  <si>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</si>
  <si>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</si>
  <si>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</si>
  <si>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</si>
  <si>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</si>
  <si>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</si>
  <si>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</si>
  <si>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</si>
  <si>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</si>
  <si>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</si>
  <si>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</si>
  <si>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</si>
  <si>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</si>
  <si>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</si>
  <si>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</si>
  <si>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</si>
  <si>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</si>
  <si>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</si>
  <si>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</si>
  <si>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</si>
  <si>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</si>
  <si>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</si>
  <si>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</si>
  <si>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</si>
  <si>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</si>
  <si>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</si>
  <si>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</si>
  <si>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</si>
  <si>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</si>
  <si>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</si>
  <si>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</si>
  <si>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</si>
  <si>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</si>
  <si>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</si>
  <si>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</si>
  <si>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</si>
  <si>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</si>
  <si>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</si>
  <si>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</si>
  <si>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</si>
  <si>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</si>
  <si>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</si>
  <si>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</si>
  <si>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</si>
  <si>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</si>
  <si>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</si>
  <si>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</si>
  <si>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</si>
  <si>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</si>
  <si>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</si>
  <si>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</si>
  <si>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</si>
  <si>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</si>
  <si>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</si>
  <si>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</si>
  <si>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</si>
  <si>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</si>
  <si>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</si>
  <si>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</si>
  <si>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</si>
  <si>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</si>
  <si>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</si>
  <si>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</si>
  <si>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</si>
  <si>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</si>
  <si>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</si>
  <si>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</si>
  <si>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</si>
  <si>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</si>
  <si>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</si>
  <si>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</si>
  <si>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</si>
  <si>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</si>
  <si>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</si>
  <si>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</si>
  <si>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</si>
  <si>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</si>
  <si>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</si>
  <si>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</si>
  <si>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</si>
  <si>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</si>
  <si>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</si>
  <si>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</si>
  <si>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</si>
  <si>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</si>
  <si>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</si>
  <si>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</si>
  <si>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</si>
  <si>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</si>
  <si>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</si>
  <si>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</si>
  <si>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</si>
  <si>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</si>
  <si>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</si>
  <si>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</si>
  <si>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</si>
  <si>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</si>
  <si>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</si>
  <si>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</si>
  <si>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</si>
  <si>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</si>
  <si>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</si>
  <si>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</si>
  <si>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</si>
  <si>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</si>
  <si>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</si>
  <si>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</si>
  <si>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</si>
  <si>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</si>
  <si>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</si>
  <si>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</si>
  <si>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</si>
  <si>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</si>
  <si>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</si>
  <si>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</si>
  <si>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</si>
  <si>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</si>
  <si>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</si>
  <si>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</si>
  <si>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</si>
  <si>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</si>
  <si>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</si>
  <si>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</si>
  <si>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</si>
  <si>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</si>
  <si>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</si>
  <si>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</si>
  <si>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</si>
  <si>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</si>
  <si>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</si>
  <si>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</si>
  <si>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</si>
  <si>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</si>
  <si>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</si>
  <si>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</si>
  <si>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</si>
  <si>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</si>
  <si>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</si>
  <si>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</si>
  <si>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</si>
  <si>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</si>
  <si>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</si>
  <si>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</si>
  <si>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</si>
  <si>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</si>
  <si>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</si>
  <si>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</si>
  <si>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</si>
  <si>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</si>
  <si>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</si>
  <si>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</si>
  <si>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</si>
  <si>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</si>
  <si>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</si>
  <si>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</si>
  <si>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</si>
  <si>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</si>
  <si>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</si>
  <si>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</si>
  <si>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</si>
  <si>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</si>
  <si>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</si>
  <si>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</si>
  <si>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</si>
  <si>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</si>
  <si>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</si>
  <si>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</si>
  <si>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</si>
  <si>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</si>
  <si>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</si>
  <si>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</si>
  <si>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</si>
  <si>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</si>
  <si>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</si>
  <si>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</si>
  <si>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</si>
  <si>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</si>
  <si>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</si>
  <si>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</si>
  <si>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</si>
  <si>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</si>
  <si>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</si>
  <si>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</si>
  <si>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</si>
  <si>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</si>
  <si>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</si>
  <si>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</si>
  <si>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</si>
  <si>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</si>
  <si>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</si>
  <si>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</si>
  <si>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</si>
  <si>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</si>
  <si>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</si>
  <si>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</si>
  <si>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</si>
  <si>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</si>
  <si>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</si>
  <si>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</si>
  <si>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</si>
  <si>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</si>
  <si>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</si>
  <si>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</si>
  <si>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</si>
  <si>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</si>
  <si>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</si>
  <si>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</si>
  <si>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</si>
  <si>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</si>
  <si>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</si>
  <si>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</si>
  <si>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</si>
  <si>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</si>
  <si>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</si>
  <si>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</si>
  <si>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</si>
  <si>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</si>
  <si>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</si>
  <si>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</si>
  <si>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</si>
  <si>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</si>
  <si>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</si>
  <si>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</si>
  <si>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</si>
  <si>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</si>
  <si>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</si>
  <si>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</si>
  <si>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</si>
  <si>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</si>
  <si>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</si>
  <si>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</si>
  <si>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</si>
  <si>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</si>
  <si>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</si>
  <si>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</si>
  <si>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</si>
  <si>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</si>
  <si>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</si>
  <si>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</si>
  <si>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</si>
  <si>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</si>
  <si>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</si>
  <si>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</si>
  <si>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</si>
  <si>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</si>
  <si>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</si>
  <si>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</si>
  <si>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</si>
  <si>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</si>
  <si>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</si>
  <si>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</si>
  <si>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</si>
  <si>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</si>
  <si>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</si>
  <si>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</si>
  <si>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</si>
  <si>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</si>
  <si>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</si>
  <si>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</si>
  <si>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</si>
  <si>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</si>
  <si>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</si>
  <si>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</si>
  <si>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</si>
  <si>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</si>
  <si>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</si>
  <si>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</si>
  <si>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</si>
  <si>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</si>
  <si>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</si>
  <si>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</si>
  <si>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</si>
  <si>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</si>
  <si>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</si>
  <si>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</si>
  <si>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</si>
  <si>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</si>
  <si>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</si>
  <si>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</si>
  <si>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</si>
  <si>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</si>
  <si>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</si>
  <si>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</si>
  <si>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</si>
  <si>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</si>
  <si>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</si>
  <si>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</si>
  <si>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</si>
  <si>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</si>
  <si>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</si>
  <si>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</si>
  <si>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</si>
  <si>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</si>
  <si>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</si>
  <si>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</si>
  <si>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</si>
  <si>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</si>
  <si>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</si>
  <si>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</si>
  <si>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</si>
  <si>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</si>
  <si>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</si>
  <si>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</si>
  <si>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</si>
  <si>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</si>
  <si>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</si>
  <si>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</si>
  <si>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</si>
  <si>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</si>
  <si>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</si>
  <si>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</si>
  <si>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</si>
  <si>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</si>
  <si>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</si>
  <si>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</si>
  <si>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</si>
  <si>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</si>
  <si>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</si>
  <si>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</si>
  <si>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</si>
  <si>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</si>
  <si>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</si>
  <si>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</si>
  <si>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</si>
  <si>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</si>
  <si>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</si>
  <si>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</si>
  <si>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</si>
  <si>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</si>
  <si>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</si>
  <si>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</si>
  <si>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</si>
  <si>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</si>
  <si>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</si>
  <si>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</si>
  <si>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</si>
  <si>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</si>
  <si>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</si>
  <si>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</si>
  <si>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</si>
  <si>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</si>
  <si>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</si>
  <si>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</si>
  <si>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</si>
  <si>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</si>
  <si>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</si>
  <si>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</si>
  <si>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</si>
  <si>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</si>
  <si>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</si>
  <si>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</si>
  <si>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</si>
  <si>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</si>
  <si>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</si>
  <si>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</si>
  <si>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</si>
  <si>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</si>
  <si>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</si>
  <si>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</si>
  <si>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</si>
  <si>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</si>
  <si>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</si>
  <si>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</si>
  <si>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</si>
  <si>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</si>
  <si>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</si>
  <si>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</si>
  <si>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</si>
  <si>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</si>
  <si>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</si>
  <si>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</si>
  <si>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</si>
  <si>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</si>
  <si>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</si>
  <si>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</si>
  <si>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</si>
  <si>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</si>
  <si>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</si>
  <si>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</si>
  <si>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</si>
  <si>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</si>
  <si>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</si>
  <si>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</si>
  <si>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</si>
  <si>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</si>
  <si>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</si>
  <si>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</si>
  <si>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</si>
  <si>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</si>
  <si>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</si>
  <si>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</si>
  <si>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</si>
  <si>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</si>
  <si>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</si>
  <si>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</si>
  <si>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</si>
  <si>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</si>
  <si>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</si>
  <si>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</si>
  <si>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</si>
  <si>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</si>
  <si>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</si>
  <si>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</si>
  <si>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</si>
  <si>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</si>
  <si>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</si>
  <si>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</si>
  <si>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</si>
  <si>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</si>
  <si>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</si>
  <si>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</si>
  <si>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</si>
  <si>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</si>
  <si>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</si>
  <si>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</si>
  <si>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</si>
  <si>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</si>
  <si>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</si>
  <si>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</si>
  <si>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</si>
  <si>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</si>
  <si>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</si>
  <si>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</si>
  <si>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</si>
  <si>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</si>
  <si>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</si>
  <si>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</si>
  <si>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</si>
  <si>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</si>
  <si>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</si>
  <si>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</si>
  <si>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</si>
  <si>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</si>
  <si>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</si>
  <si>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</si>
  <si>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</si>
  <si>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</si>
  <si>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</si>
  <si>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</si>
  <si>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</si>
  <si>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</si>
  <si>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</si>
  <si>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</si>
  <si>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</si>
  <si>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</si>
  <si>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</si>
  <si>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</si>
  <si>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</si>
  <si>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</si>
  <si>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</si>
  <si>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</si>
  <si>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</si>
  <si>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</si>
  <si>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</si>
  <si>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</si>
  <si>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</si>
  <si>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</si>
  <si>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</si>
  <si>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</si>
  <si>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</si>
  <si>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</si>
  <si>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</si>
  <si>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</si>
  <si>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</si>
  <si>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</si>
  <si>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</si>
  <si>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</si>
  <si>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</si>
  <si>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</si>
  <si>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</si>
  <si>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</si>
  <si>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</si>
  <si>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</si>
  <si>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</si>
  <si>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</si>
  <si>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</si>
  <si>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</si>
  <si>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</si>
  <si>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</si>
  <si>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</si>
  <si>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</si>
  <si>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</si>
  <si>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</si>
  <si>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</si>
  <si>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</si>
  <si>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</si>
  <si>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</si>
  <si>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</si>
  <si>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</si>
  <si>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</si>
  <si>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</si>
  <si>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</si>
  <si>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</si>
  <si>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</si>
  <si>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</si>
  <si>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</si>
  <si>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</si>
  <si>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</si>
  <si>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</si>
  <si>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</si>
  <si>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</si>
  <si>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</si>
  <si>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</si>
  <si>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</si>
  <si>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</si>
  <si>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</si>
  <si>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</si>
  <si>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</si>
  <si>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</si>
  <si>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</si>
  <si>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</si>
  <si>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</si>
  <si>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</si>
  <si>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</si>
  <si>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</si>
  <si>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</si>
  <si>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</si>
  <si>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</si>
  <si>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</si>
  <si>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</si>
  <si>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</si>
  <si>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</si>
  <si>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</si>
  <si>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</si>
  <si>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</si>
  <si>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</si>
  <si>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</si>
  <si>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</si>
  <si>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</si>
  <si>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</si>
  <si>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</si>
  <si>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</si>
  <si>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</si>
  <si>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</si>
  <si>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</si>
  <si>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</si>
  <si>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</si>
  <si>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</si>
  <si>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</si>
  <si>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</si>
  <si>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</si>
  <si>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</si>
  <si>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</si>
  <si>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</si>
  <si>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</si>
  <si>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</si>
  <si>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</si>
  <si>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</si>
  <si>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</si>
  <si>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</si>
  <si>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</si>
  <si>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</si>
  <si>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</si>
  <si>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</si>
  <si>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</si>
  <si>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</si>
  <si>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</si>
  <si>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</si>
  <si>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</si>
  <si>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</si>
  <si>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</si>
  <si>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</si>
  <si>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</si>
  <si>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</si>
  <si>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</si>
  <si>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</si>
  <si>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</si>
  <si>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</si>
  <si>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</si>
  <si>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</si>
  <si>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</si>
  <si>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</si>
  <si>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</si>
  <si>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</si>
  <si>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</si>
  <si>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</si>
  <si>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</si>
  <si>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</si>
  <si>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</si>
  <si>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</si>
  <si>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</si>
  <si>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</si>
  <si>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</si>
  <si>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</si>
  <si>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</si>
  <si>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</si>
  <si>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</si>
  <si>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</si>
  <si>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</si>
  <si>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</si>
  <si>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</si>
  <si>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</si>
  <si>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</si>
  <si>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</si>
  <si>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</si>
  <si>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</si>
  <si>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</si>
  <si>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</si>
  <si>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</si>
  <si>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</si>
  <si>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</si>
  <si>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</si>
  <si>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</si>
  <si>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</si>
  <si>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</si>
  <si>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</si>
  <si>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</si>
  <si>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</si>
  <si>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</si>
  <si>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</si>
  <si>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</si>
  <si>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</si>
  <si>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</si>
  <si>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</si>
  <si>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</si>
  <si>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</si>
  <si>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</si>
  <si>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</si>
  <si>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</si>
  <si>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</si>
  <si>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</si>
  <si>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</si>
  <si>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</si>
  <si>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</si>
  <si>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</si>
  <si>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</si>
  <si>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</si>
  <si>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</si>
  <si>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</si>
  <si>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</si>
  <si>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</si>
  <si>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</si>
  <si>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</si>
  <si>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</si>
  <si>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</si>
  <si>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</si>
  <si>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</si>
  <si>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</si>
  <si>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</si>
  <si>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</si>
  <si>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</si>
  <si>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</si>
  <si>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</si>
  <si>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</si>
  <si>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</si>
  <si>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</si>
  <si>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</si>
  <si>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</si>
  <si>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</si>
  <si>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</si>
  <si>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</si>
  <si>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</si>
  <si>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</si>
  <si>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</si>
  <si>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</si>
  <si>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</si>
  <si>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</si>
  <si>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</si>
  <si>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</si>
  <si>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</si>
  <si>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</si>
  <si>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</si>
  <si>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</si>
  <si>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</si>
  <si>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</si>
  <si>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</si>
  <si>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</si>
  <si>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</si>
  <si>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</si>
  <si>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</si>
  <si>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</si>
  <si>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</si>
  <si>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</si>
  <si>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</si>
  <si>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</si>
  <si>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</si>
  <si>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</si>
  <si>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</si>
  <si>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</si>
  <si>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</si>
  <si>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</si>
  <si>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</si>
  <si>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</si>
  <si>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</si>
  <si>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</si>
  <si>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</si>
  <si>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</si>
  <si>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</si>
  <si>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</si>
  <si>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</si>
  <si>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</si>
  <si>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</si>
  <si>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</si>
  <si>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</si>
  <si>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</si>
  <si>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</si>
  <si>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</si>
  <si>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</si>
  <si>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</si>
  <si>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</si>
  <si>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</si>
  <si>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</si>
  <si>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</si>
  <si>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</si>
  <si>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</si>
  <si>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</si>
  <si>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</si>
  <si>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</si>
  <si>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</si>
  <si>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</si>
  <si>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</si>
  <si>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</si>
  <si>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</si>
  <si>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</si>
  <si>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</si>
  <si>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</si>
  <si>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</si>
  <si>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</si>
  <si>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</si>
  <si>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</si>
  <si>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</si>
  <si>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</si>
  <si>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</si>
  <si>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</si>
  <si>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</si>
  <si>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</si>
  <si>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</si>
  <si>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</si>
  <si>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</si>
  <si>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</si>
  <si>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</si>
  <si>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</si>
  <si>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</si>
  <si>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</si>
  <si>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</si>
  <si>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</si>
  <si>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</si>
  <si>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</si>
  <si>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</si>
  <si>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</si>
  <si>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</si>
  <si>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</si>
  <si>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</si>
  <si>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</si>
  <si>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</si>
  <si>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</si>
  <si>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</si>
  <si>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</si>
  <si>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</si>
  <si>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</si>
  <si>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</si>
  <si>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</si>
  <si>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</si>
  <si>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</si>
  <si>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</si>
  <si>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</si>
  <si>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</si>
  <si>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</si>
  <si>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</si>
  <si>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</si>
  <si>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</si>
  <si>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</si>
  <si>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</si>
  <si>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</si>
  <si>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</si>
  <si>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</si>
  <si>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</si>
  <si>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</si>
  <si>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</si>
  <si>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</si>
  <si>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</si>
  <si>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</si>
  <si>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</si>
  <si>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</si>
  <si>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</si>
  <si>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</si>
  <si>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</si>
  <si>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</si>
  <si>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</si>
  <si>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</si>
  <si>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</si>
  <si>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</si>
  <si>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</si>
  <si>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</si>
  <si>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</si>
  <si>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</si>
  <si>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</si>
  <si>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</si>
  <si>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</si>
  <si>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</si>
  <si>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</si>
  <si>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</si>
  <si>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</si>
  <si>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</si>
  <si>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</si>
  <si>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</si>
  <si>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</si>
  <si>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</si>
  <si>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</si>
  <si>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</si>
  <si>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</si>
  <si>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</si>
  <si>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</si>
  <si>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</si>
  <si>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</si>
  <si>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</si>
  <si>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</si>
  <si>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</si>
  <si>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</si>
  <si>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</si>
  <si>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</si>
  <si>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</si>
  <si>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</si>
  <si>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</si>
  <si>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</si>
  <si>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</si>
  <si>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</si>
  <si>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</si>
  <si>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</si>
  <si>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</si>
  <si>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</si>
  <si>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</si>
  <si>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</si>
  <si>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</si>
  <si>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</si>
  <si>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</si>
  <si>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</si>
  <si>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</si>
  <si>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</si>
  <si>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</si>
  <si>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</si>
  <si>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</si>
  <si>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</si>
  <si>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</si>
  <si>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</si>
  <si>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</si>
  <si>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</si>
  <si>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</si>
  <si>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</si>
  <si>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</si>
  <si>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</si>
  <si>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</si>
  <si>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</si>
  <si>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</si>
  <si>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</si>
  <si>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</si>
  <si>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</si>
  <si>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</si>
  <si>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</si>
  <si>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</si>
  <si>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</si>
  <si>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</si>
  <si>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</si>
  <si>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</si>
  <si>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</si>
  <si>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</si>
  <si>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</si>
  <si>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</si>
  <si>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</si>
  <si>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</si>
  <si>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</si>
  <si>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</si>
  <si>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</si>
  <si>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</si>
  <si>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</si>
  <si>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</si>
  <si>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</si>
  <si>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</si>
  <si>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</si>
  <si>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</si>
  <si>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</si>
  <si>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</si>
  <si>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</si>
  <si>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</si>
  <si>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</si>
  <si>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</si>
  <si>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</si>
  <si>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</si>
  <si>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</si>
  <si>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</si>
  <si>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</si>
  <si>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</si>
  <si>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</si>
  <si>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</si>
  <si>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</si>
  <si>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</si>
  <si>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</si>
  <si>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</si>
  <si>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</si>
  <si>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</si>
  <si>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</si>
  <si>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</si>
  <si>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</si>
  <si>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</si>
  <si>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</si>
  <si>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</si>
  <si>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</si>
  <si>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</si>
  <si>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</si>
  <si>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</si>
  <si>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</si>
  <si>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</si>
  <si>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</si>
  <si>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</si>
  <si>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</si>
  <si>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</si>
  <si>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</si>
  <si>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</si>
  <si>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</si>
  <si>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</si>
  <si>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</si>
  <si>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</si>
  <si>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</si>
  <si>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</si>
  <si>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</si>
  <si>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</si>
  <si>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</si>
  <si>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</si>
  <si>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</si>
  <si>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</si>
  <si>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</si>
  <si>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</si>
  <si>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</si>
  <si>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</si>
  <si>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</si>
  <si>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</si>
  <si>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</si>
  <si>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</si>
  <si>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</si>
  <si>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</si>
  <si>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</si>
  <si>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</si>
  <si>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</si>
  <si>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</si>
  <si>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</si>
  <si>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</si>
  <si>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</si>
  <si>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</si>
  <si>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</si>
  <si>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</si>
  <si>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</si>
  <si>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</si>
  <si>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</si>
  <si>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</si>
  <si>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</si>
  <si>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</si>
  <si>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</si>
  <si>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</si>
  <si>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</si>
  <si>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</si>
  <si>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</si>
  <si>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</si>
  <si>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</si>
  <si>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</si>
  <si>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</si>
  <si>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</si>
  <si>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</si>
  <si>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</si>
  <si>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</si>
  <si>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</si>
  <si>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</si>
  <si>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</si>
  <si>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</si>
  <si>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</si>
  <si>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</si>
  <si>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</si>
  <si>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</si>
  <si>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</si>
  <si>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</si>
  <si>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</si>
  <si>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</si>
  <si>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</si>
  <si>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</si>
  <si>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</si>
  <si>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</si>
  <si>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</si>
  <si>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</si>
  <si>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</si>
  <si>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</si>
  <si>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</si>
  <si>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</si>
  <si>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</si>
  <si>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</si>
  <si>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</si>
  <si>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</si>
  <si>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</si>
  <si>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</si>
  <si>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</si>
  <si>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</si>
  <si>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</si>
  <si>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</si>
  <si>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</si>
  <si>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</si>
  <si>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</si>
  <si>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</si>
  <si>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</si>
  <si>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</si>
  <si>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</si>
  <si>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</si>
  <si>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</si>
  <si>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</si>
  <si>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</si>
  <si>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</si>
  <si>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</si>
  <si>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</si>
  <si>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</si>
  <si>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</si>
  <si>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</si>
  <si>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</si>
  <si>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</si>
  <si>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</si>
  <si>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</si>
  <si>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</si>
  <si>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</si>
  <si>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</si>
  <si>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</si>
  <si>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</si>
  <si>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</si>
  <si>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</si>
  <si>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</si>
  <si>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</si>
  <si>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</si>
  <si>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</si>
  <si>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</si>
  <si>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</si>
  <si>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</si>
  <si>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</si>
  <si>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</si>
  <si>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</si>
  <si>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</si>
  <si>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</si>
  <si>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</si>
  <si>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</si>
  <si>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</si>
  <si>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</si>
  <si>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</si>
  <si>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</si>
  <si>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</si>
  <si>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</si>
  <si>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</si>
  <si>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</si>
  <si>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</si>
  <si>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</si>
  <si>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</si>
  <si>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</si>
  <si>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</si>
  <si>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</si>
  <si>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</si>
  <si>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</si>
  <si>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</si>
  <si>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</si>
  <si>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</si>
  <si>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</si>
  <si>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</si>
  <si>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</si>
  <si>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</si>
  <si>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</si>
  <si>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</si>
  <si>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</si>
  <si>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</si>
  <si>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</si>
  <si>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</si>
  <si>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</si>
  <si>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</si>
  <si>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</si>
  <si>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</si>
  <si>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</si>
  <si>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</si>
  <si>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</si>
  <si>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</si>
  <si>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</si>
  <si>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</si>
  <si>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</si>
  <si>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</si>
  <si>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</si>
  <si>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</si>
  <si>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</si>
  <si>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</si>
  <si>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</si>
  <si>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</si>
  <si>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</si>
  <si>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</si>
  <si>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</si>
  <si>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</si>
  <si>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</si>
  <si>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</si>
  <si>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</si>
  <si>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</si>
  <si>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</si>
  <si>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</si>
  <si>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</si>
  <si>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</si>
  <si>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</si>
  <si>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</si>
  <si>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</si>
  <si>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</si>
  <si>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</si>
  <si>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</si>
  <si>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</si>
  <si>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</si>
  <si>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</si>
  <si>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</si>
  <si>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</si>
  <si>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</si>
  <si>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</si>
  <si>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</si>
  <si>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</si>
  <si>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</si>
  <si>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</si>
  <si>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</si>
  <si>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</si>
  <si>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</si>
  <si>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</si>
  <si>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</si>
  <si>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</si>
  <si>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</si>
  <si>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</si>
  <si>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</si>
  <si>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</si>
  <si>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</si>
  <si>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</si>
  <si>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</si>
  <si>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</si>
  <si>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</si>
  <si>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</si>
  <si>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</si>
  <si>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</si>
  <si>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</si>
  <si>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</si>
  <si>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</si>
  <si>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</si>
  <si>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</si>
  <si>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</si>
  <si>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</si>
  <si>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</si>
  <si>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</si>
  <si>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</si>
  <si>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</si>
  <si>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</si>
  <si>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</si>
  <si>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</si>
  <si>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</si>
  <si>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</si>
  <si>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</si>
  <si>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</si>
  <si>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</si>
  <si>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</si>
  <si>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</si>
  <si>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</si>
  <si>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</si>
  <si>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</si>
  <si>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</si>
  <si>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</si>
  <si>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</si>
  <si>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</si>
  <si>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</si>
  <si>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</si>
  <si>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</si>
  <si>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</si>
  <si>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</si>
  <si>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</si>
  <si>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</si>
  <si>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</si>
  <si>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</si>
  <si>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</si>
  <si>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</si>
  <si>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</si>
  <si>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</si>
  <si>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</si>
  <si>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</si>
  <si>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</si>
  <si>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</si>
  <si>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</si>
  <si>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</si>
  <si>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</si>
  <si>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</si>
  <si>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</si>
  <si>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</si>
  <si>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</si>
  <si>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</si>
  <si>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</si>
  <si>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</si>
  <si>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</si>
  <si>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</si>
  <si>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</si>
  <si>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</si>
  <si>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</si>
  <si>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</si>
  <si>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</si>
  <si>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</si>
  <si>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</si>
  <si>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</si>
  <si>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</si>
  <si>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</si>
  <si>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</si>
  <si>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</si>
  <si>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</si>
  <si>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</si>
  <si>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</si>
  <si>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</si>
  <si>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</si>
  <si>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</si>
  <si>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</si>
  <si>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</si>
  <si>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</si>
  <si>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</si>
  <si>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</si>
  <si>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</si>
  <si>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</si>
  <si>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</si>
  <si>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</si>
  <si>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</si>
  <si>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</si>
  <si>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</si>
  <si>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</si>
  <si>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</si>
  <si>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</si>
  <si>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</si>
  <si>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</si>
  <si>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</si>
  <si>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</si>
  <si>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</si>
  <si>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</si>
  <si>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</si>
  <si>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</si>
  <si>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</si>
  <si>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</si>
  <si>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</si>
  <si>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</si>
  <si>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</si>
  <si>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</si>
  <si>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</si>
  <si>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</si>
  <si>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</si>
  <si>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</si>
  <si>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</si>
  <si>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</si>
  <si>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</si>
  <si>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</si>
  <si>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</si>
  <si>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</si>
  <si>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</si>
  <si>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</si>
  <si>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</si>
  <si>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</si>
  <si>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</si>
  <si>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</si>
  <si>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</si>
  <si>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</si>
  <si>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</si>
  <si>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</si>
  <si>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</si>
  <si>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</si>
  <si>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</si>
  <si>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</si>
  <si>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</si>
  <si>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</si>
  <si>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</si>
  <si>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</si>
  <si>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</si>
  <si>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</si>
  <si>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</si>
  <si>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</si>
  <si>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</si>
  <si>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</si>
  <si>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</si>
  <si>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</si>
  <si>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</si>
  <si>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</si>
  <si>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</si>
  <si>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</si>
  <si>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</si>
  <si>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</si>
  <si>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</si>
  <si>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</si>
  <si>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</si>
  <si>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</si>
  <si>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</si>
  <si>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</si>
  <si>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</si>
  <si>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</si>
  <si>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</si>
  <si>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</si>
  <si>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</si>
  <si>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</si>
  <si>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</si>
  <si>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</si>
  <si>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</si>
  <si>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</si>
  <si>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</si>
  <si>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</si>
  <si>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</si>
  <si>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</si>
  <si>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</si>
  <si>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</si>
  <si>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</si>
  <si>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</si>
  <si>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</si>
  <si>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</si>
  <si>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</si>
  <si>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</si>
  <si>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</si>
  <si>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</si>
  <si>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</si>
  <si>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</si>
  <si>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</si>
  <si>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</si>
  <si>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</si>
  <si>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</si>
  <si>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</si>
  <si>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</si>
  <si>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</si>
  <si>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</si>
  <si>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</si>
  <si>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</si>
  <si>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</si>
  <si>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</si>
  <si>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</si>
  <si>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</si>
  <si>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</si>
  <si>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</si>
  <si>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</si>
  <si>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</si>
  <si>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</si>
  <si>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</si>
  <si>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</si>
  <si>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</si>
  <si>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</si>
  <si>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</si>
  <si>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</si>
  <si>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</si>
  <si>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</si>
  <si>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</si>
  <si>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</si>
  <si>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</si>
  <si>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</si>
  <si>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</si>
  <si>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</si>
  <si>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</si>
  <si>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</si>
  <si>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</si>
  <si>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</si>
  <si>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</si>
  <si>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</si>
  <si>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</si>
  <si>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</si>
  <si>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</si>
  <si>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</si>
  <si>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</si>
  <si>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</si>
  <si>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</si>
  <si>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</si>
  <si>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</si>
  <si>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</si>
  <si>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</si>
  <si>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</si>
  <si>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</si>
  <si>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</si>
  <si>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</si>
  <si>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</si>
  <si>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</si>
  <si>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</si>
  <si>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</si>
  <si>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</si>
  <si>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</si>
  <si>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</si>
  <si>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</si>
  <si>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</si>
  <si>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</si>
  <si>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</si>
  <si>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</si>
  <si>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</si>
  <si>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</si>
  <si>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</si>
  <si>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</si>
  <si>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</si>
  <si>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</si>
  <si>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</si>
  <si>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</si>
  <si>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</si>
  <si>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</si>
  <si>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</si>
  <si>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</si>
  <si>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</si>
  <si>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</si>
  <si>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</si>
  <si>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</si>
  <si>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</si>
  <si>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</si>
  <si>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</si>
  <si>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</si>
  <si>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</si>
  <si>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</si>
  <si>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</si>
  <si>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</si>
  <si>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</si>
  <si>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</si>
  <si>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</si>
  <si>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</si>
  <si>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</si>
  <si>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</si>
  <si>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</si>
  <si>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</si>
  <si>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</si>
  <si>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</si>
  <si>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</si>
  <si>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</si>
  <si>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</si>
  <si>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</si>
  <si>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</si>
  <si>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</si>
  <si>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</si>
  <si>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</si>
  <si>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</si>
  <si>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</si>
  <si>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</si>
  <si>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</si>
  <si>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</si>
  <si>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</si>
  <si>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</si>
  <si>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</si>
  <si>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</si>
  <si>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</si>
  <si>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</si>
  <si>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</si>
  <si>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</si>
  <si>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</si>
  <si>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</si>
  <si>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</si>
  <si>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</si>
  <si>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</si>
  <si>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</si>
  <si>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</si>
  <si>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</si>
  <si>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</si>
  <si>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</si>
  <si>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</si>
  <si>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</si>
  <si>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</si>
  <si>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</si>
  <si>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</si>
  <si>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</si>
  <si>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</si>
  <si>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</si>
  <si>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</si>
  <si>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</si>
  <si>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</si>
  <si>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</si>
  <si>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</si>
  <si>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</si>
  <si>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</si>
  <si>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</si>
  <si>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</si>
  <si>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</si>
  <si>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</si>
  <si>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</si>
  <si>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</si>
  <si>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</si>
  <si>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</si>
  <si>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</si>
  <si>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</si>
  <si>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</si>
  <si>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</si>
  <si>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</si>
  <si>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</si>
  <si>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</si>
  <si>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</si>
  <si>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</si>
  <si>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</si>
  <si>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</si>
  <si>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</si>
  <si>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</si>
  <si>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</si>
  <si>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</si>
  <si>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</si>
  <si>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</si>
  <si>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</si>
  <si>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</si>
  <si>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</si>
  <si>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</si>
  <si>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</si>
  <si>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</si>
  <si>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</si>
  <si>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</si>
  <si>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</si>
  <si>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</si>
  <si>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</si>
  <si>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</si>
  <si>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</si>
  <si>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</si>
  <si>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</si>
  <si>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</si>
  <si>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</si>
  <si>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</si>
  <si>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</si>
  <si>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</si>
  <si>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</si>
  <si>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</si>
  <si>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</si>
  <si>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</si>
  <si>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</si>
  <si>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</si>
  <si>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</si>
  <si>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</si>
  <si>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</si>
  <si>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</si>
  <si>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</si>
  <si>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</si>
  <si>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</si>
  <si>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</si>
  <si>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</si>
  <si>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</si>
  <si>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</si>
  <si>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</si>
  <si>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</si>
  <si>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</si>
  <si>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</si>
  <si>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</si>
  <si>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</si>
  <si>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</si>
  <si>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</si>
  <si>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</si>
  <si>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</si>
  <si>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</si>
  <si>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</si>
  <si>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</si>
  <si>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</si>
  <si>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</si>
  <si>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</si>
  <si>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</si>
  <si>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</si>
  <si>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</si>
  <si>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</si>
  <si>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</si>
  <si>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</si>
  <si>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</si>
  <si>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</si>
  <si>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</si>
  <si>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</si>
  <si>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</si>
  <si>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</si>
  <si>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</si>
  <si>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</si>
  <si>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</si>
  <si>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</si>
  <si>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</si>
  <si>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</si>
  <si>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</si>
  <si>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</si>
  <si>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</si>
  <si>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</si>
  <si>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</si>
  <si>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</si>
  <si>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</si>
  <si>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</si>
  <si>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</si>
  <si>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</si>
  <si>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</si>
  <si>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</si>
  <si>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</si>
  <si>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</si>
  <si>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</si>
  <si>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</si>
  <si>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</si>
  <si>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</si>
  <si>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</si>
  <si>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</si>
  <si>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</si>
  <si>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</si>
  <si>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</si>
  <si>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</si>
  <si>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</si>
  <si>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</si>
  <si>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</si>
  <si>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</si>
  <si>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</si>
  <si>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</si>
  <si>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</si>
  <si>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</si>
  <si>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</si>
  <si>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</si>
  <si>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</si>
  <si>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</si>
  <si>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</si>
  <si>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</si>
  <si>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</si>
  <si>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</si>
  <si>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</si>
  <si>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</si>
  <si>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</si>
  <si>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</si>
  <si>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</si>
  <si>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</si>
  <si>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</si>
  <si>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</si>
  <si>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</si>
  <si>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</si>
  <si>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</si>
  <si>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</si>
  <si>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</si>
  <si>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</si>
  <si>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</si>
  <si>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</si>
  <si>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</si>
  <si>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</si>
  <si>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</si>
  <si>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</si>
  <si>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</si>
  <si>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</si>
  <si>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</si>
  <si>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</si>
  <si>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</si>
  <si>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</si>
  <si>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</si>
  <si>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</si>
  <si>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</si>
  <si>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</si>
  <si>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</si>
  <si>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</si>
  <si>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</si>
  <si>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</si>
  <si>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</si>
  <si>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</si>
  <si>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</si>
  <si>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</si>
  <si>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</si>
  <si>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</si>
  <si>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</si>
  <si>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</si>
  <si>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</si>
  <si>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</si>
  <si>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</si>
  <si>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</si>
  <si>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</si>
  <si>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</si>
  <si>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</si>
  <si>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</si>
  <si>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</si>
  <si>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</si>
  <si>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</si>
  <si>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</si>
  <si>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</si>
  <si>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</si>
  <si>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</si>
  <si>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</si>
  <si>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</si>
  <si>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</si>
  <si>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</si>
  <si>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</si>
  <si>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</si>
  <si>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</si>
  <si>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</si>
  <si>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</si>
  <si>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</si>
  <si>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</si>
  <si>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</si>
  <si>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</si>
  <si>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</si>
  <si>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</si>
  <si>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</si>
  <si>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</si>
  <si>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</si>
  <si>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</si>
  <si>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</si>
  <si>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</si>
  <si>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</si>
  <si>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</si>
  <si>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</si>
  <si>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</si>
  <si>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</si>
  <si>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</si>
  <si>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</si>
  <si>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</si>
  <si>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</si>
  <si>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</si>
  <si>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</si>
  <si>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</si>
  <si>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</si>
  <si>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</si>
  <si>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</si>
  <si>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</si>
  <si>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</si>
  <si>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</si>
  <si>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</si>
  <si>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</si>
  <si>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</si>
  <si>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</si>
  <si>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</si>
  <si>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</si>
  <si>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</si>
  <si>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</si>
  <si>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</si>
  <si>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</si>
  <si>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</si>
  <si>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</si>
  <si>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</si>
  <si>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</si>
  <si>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</si>
  <si>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</si>
  <si>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</si>
  <si>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</si>
  <si>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</si>
  <si>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</si>
  <si>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</si>
  <si>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</si>
  <si>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</si>
  <si>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</si>
  <si>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</si>
  <si>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</si>
  <si>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</si>
  <si>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</si>
  <si>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</si>
  <si>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</si>
  <si>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</si>
  <si>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</si>
  <si>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</si>
  <si>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</si>
  <si>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</si>
  <si>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</si>
  <si>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</si>
  <si>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</si>
  <si>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</si>
  <si>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</si>
  <si>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</si>
  <si>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</si>
  <si>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</si>
  <si>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</si>
  <si>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</si>
  <si>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</si>
  <si>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</si>
  <si>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</si>
  <si>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</si>
  <si>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</si>
  <si>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</si>
  <si>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</si>
  <si>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</si>
  <si>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</si>
  <si>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</si>
  <si>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</si>
  <si>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</si>
  <si>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</si>
  <si>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</si>
  <si>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</si>
  <si>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</si>
  <si>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</si>
  <si>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</si>
  <si>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</si>
  <si>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</si>
  <si>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</si>
  <si>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</si>
  <si>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</si>
  <si>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</si>
  <si>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</si>
  <si>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</si>
  <si>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</si>
  <si>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</si>
  <si>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</si>
  <si>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</si>
  <si>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</si>
  <si>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</si>
  <si>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</si>
  <si>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</si>
  <si>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</si>
  <si>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</si>
  <si>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</si>
  <si>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</si>
  <si>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</si>
  <si>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</si>
  <si>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</si>
  <si>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</si>
  <si>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</si>
  <si>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</si>
  <si>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</si>
  <si>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</si>
  <si>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</si>
  <si>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</si>
  <si>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</si>
  <si>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</si>
  <si>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</si>
  <si>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</si>
  <si>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</si>
  <si>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</si>
  <si>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</si>
  <si>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</si>
  <si>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</si>
  <si>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</si>
  <si>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</si>
  <si>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</si>
  <si>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</si>
  <si>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</si>
  <si>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</si>
  <si>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</si>
  <si>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</si>
  <si>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</si>
  <si>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</si>
  <si>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</si>
  <si>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</si>
  <si>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</si>
  <si>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</si>
  <si>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</si>
  <si>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</si>
  <si>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</si>
  <si>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</si>
  <si>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</si>
  <si>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</si>
  <si>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</si>
  <si>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</si>
  <si>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</si>
  <si>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</si>
  <si>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</si>
  <si>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</si>
  <si>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</si>
  <si>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</si>
  <si>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</si>
  <si>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</si>
  <si>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</si>
  <si>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</si>
  <si>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</si>
  <si>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</si>
  <si>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</si>
  <si>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</si>
  <si>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</si>
  <si>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</si>
  <si>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</si>
  <si>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</si>
  <si>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</si>
  <si>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</si>
  <si>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</si>
  <si>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</si>
  <si>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</si>
  <si>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</si>
  <si>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</si>
  <si>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</si>
  <si>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</si>
  <si>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</si>
  <si>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</si>
  <si>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</si>
  <si>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</si>
  <si>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</si>
  <si>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</si>
  <si>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</si>
  <si>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</si>
  <si>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</si>
  <si>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</si>
  <si>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</si>
  <si>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</si>
  <si>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</si>
  <si>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</si>
  <si>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</si>
  <si>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</si>
  <si>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</si>
  <si>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</si>
  <si>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</si>
  <si>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</si>
  <si>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</si>
  <si>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</si>
  <si>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</si>
  <si>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</si>
  <si>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</si>
  <si>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</si>
  <si>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</si>
  <si>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</si>
  <si>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</si>
  <si>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</si>
  <si>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</si>
  <si>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</si>
  <si>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</si>
  <si>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</si>
  <si>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</si>
  <si>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</si>
  <si>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</si>
  <si>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</si>
  <si>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</si>
  <si>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</si>
  <si>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</si>
  <si>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</si>
  <si>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</si>
  <si>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</si>
  <si>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</si>
  <si>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</si>
  <si>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</si>
  <si>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</si>
  <si>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</si>
  <si>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</si>
  <si>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</si>
  <si>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</si>
  <si>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</si>
  <si>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</si>
  <si>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</si>
  <si>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</si>
  <si>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</si>
  <si>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</si>
  <si>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</si>
  <si>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</si>
  <si>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</si>
  <si>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</si>
  <si>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</si>
  <si>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</si>
  <si>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</si>
  <si>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</si>
  <si>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</si>
  <si>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</si>
  <si>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</si>
  <si>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</si>
  <si>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</si>
  <si>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</si>
  <si>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</si>
  <si>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</si>
  <si>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</si>
  <si>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</si>
  <si>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</si>
  <si>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</si>
  <si>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</si>
  <si>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</si>
  <si>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</si>
  <si>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</si>
  <si>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</si>
  <si>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</si>
  <si>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</si>
  <si>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</si>
  <si>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</si>
  <si>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</si>
  <si>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</si>
  <si>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</si>
  <si>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</si>
  <si>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</si>
  <si>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</si>
  <si>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</si>
  <si>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</si>
  <si>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</si>
  <si>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</si>
  <si>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</si>
  <si>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</si>
  <si>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</si>
  <si>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</si>
  <si>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</si>
  <si>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</si>
  <si>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</si>
  <si>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</si>
  <si>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</si>
  <si>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</si>
  <si>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</si>
  <si>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</si>
  <si>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</si>
  <si>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</si>
  <si>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</si>
  <si>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</si>
  <si>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</si>
  <si>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</si>
  <si>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</si>
  <si>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</si>
  <si>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</si>
  <si>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</si>
  <si>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</si>
  <si>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</si>
  <si>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</si>
  <si>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</si>
  <si>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</si>
  <si>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</si>
  <si>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</si>
  <si>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</si>
  <si>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</si>
  <si>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</si>
  <si>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</si>
  <si>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</si>
  <si>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</si>
  <si>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</si>
  <si>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</si>
  <si>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</si>
  <si>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</si>
  <si>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</si>
  <si>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</si>
  <si>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</si>
  <si>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</si>
  <si>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</si>
  <si>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</si>
  <si>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</si>
  <si>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</si>
  <si>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</si>
  <si>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</si>
  <si>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</si>
  <si>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</si>
  <si>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</si>
  <si>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</si>
  <si>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</si>
  <si>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</si>
  <si>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</si>
  <si>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</si>
  <si>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</si>
  <si>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</si>
  <si>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</si>
  <si>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</si>
  <si>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</si>
  <si>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</si>
  <si>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</si>
  <si>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</si>
  <si>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</si>
  <si>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</si>
  <si>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</si>
  <si>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</si>
  <si>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</si>
  <si>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</si>
  <si>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</si>
  <si>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</si>
  <si>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</si>
  <si>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</si>
  <si>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</si>
  <si>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</si>
  <si>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</si>
  <si>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</si>
  <si>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</si>
  <si>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</si>
  <si>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</si>
  <si>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</si>
  <si>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</si>
  <si>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</si>
  <si>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</si>
  <si>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</si>
  <si>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</si>
  <si>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</si>
  <si>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</si>
  <si>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</si>
  <si>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</si>
  <si>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</si>
  <si>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</si>
  <si>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</si>
  <si>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</si>
  <si>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</si>
  <si>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</si>
  <si>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</si>
  <si>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</si>
  <si>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</si>
  <si>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</si>
  <si>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</si>
  <si>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</si>
  <si>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</si>
  <si>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</si>
  <si>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</si>
  <si>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</si>
  <si>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</si>
  <si>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</si>
  <si>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</si>
  <si>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</si>
  <si>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</si>
  <si>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</si>
  <si>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</si>
  <si>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</si>
  <si>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</si>
  <si>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</si>
  <si>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</si>
  <si>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</si>
  <si>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</si>
  <si>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</si>
  <si>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</si>
  <si>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</si>
  <si>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</si>
  <si>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</si>
  <si>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</si>
  <si>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</si>
  <si>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</si>
  <si>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</si>
  <si>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</si>
  <si>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</si>
  <si>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</si>
  <si>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</si>
  <si>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</si>
  <si>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</si>
  <si>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</si>
  <si>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</si>
  <si>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</si>
  <si>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</si>
  <si>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</si>
  <si>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</si>
  <si>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</si>
  <si>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</si>
  <si>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</si>
  <si>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</si>
  <si>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</si>
  <si>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</si>
  <si>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</si>
  <si>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</si>
  <si>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</si>
  <si>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</si>
  <si>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</si>
  <si>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</si>
  <si>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</si>
  <si>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</si>
  <si>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</si>
  <si>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</si>
  <si>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</si>
  <si>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</si>
  <si>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</si>
  <si>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</si>
  <si>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</si>
  <si>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</si>
  <si>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</si>
  <si>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</si>
  <si>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</si>
  <si>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</si>
  <si>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</si>
  <si>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</si>
  <si>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</si>
  <si>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</si>
  <si>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</si>
  <si>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</si>
  <si>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</si>
  <si>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</si>
  <si>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</si>
  <si>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</si>
  <si>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</si>
  <si>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</si>
  <si>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</si>
  <si>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</si>
  <si>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</si>
  <si>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</si>
  <si>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</si>
  <si>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</si>
  <si>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</si>
  <si>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</si>
  <si>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</si>
  <si>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</si>
  <si>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</si>
  <si>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</si>
  <si>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</si>
  <si>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</si>
  <si>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</si>
  <si>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</si>
  <si>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</si>
  <si>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</si>
  <si>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</si>
  <si>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</si>
  <si>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</si>
  <si>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</si>
  <si>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</si>
  <si>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</si>
  <si>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</si>
  <si>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</si>
  <si>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</si>
  <si>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</si>
  <si>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</si>
  <si>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</si>
  <si>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</si>
  <si>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</si>
  <si>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</si>
  <si>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</si>
  <si>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</si>
  <si>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</si>
  <si>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</si>
  <si>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</si>
  <si>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</si>
  <si>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</si>
  <si>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</si>
  <si>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</si>
  <si>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</si>
  <si>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</si>
  <si>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</si>
  <si>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</si>
  <si>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</si>
  <si>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</si>
  <si>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</si>
  <si>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</si>
  <si>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</si>
  <si>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</si>
  <si>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</si>
  <si>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</si>
  <si>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</si>
  <si>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</si>
  <si>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</si>
  <si>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</si>
  <si>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</si>
  <si>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</si>
  <si>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</si>
  <si>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</si>
  <si>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</si>
  <si>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</si>
  <si>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</si>
  <si>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</si>
  <si>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</si>
  <si>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</si>
  <si>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</si>
  <si>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</si>
  <si>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</si>
  <si>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</si>
  <si>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</si>
  <si>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</si>
  <si>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</si>
  <si>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</si>
  <si>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</si>
  <si>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</si>
  <si>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</si>
  <si>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</si>
  <si>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</si>
  <si>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</si>
  <si>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</si>
  <si>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</si>
  <si>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</si>
  <si>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</si>
  <si>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</si>
  <si>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</si>
  <si>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</si>
  <si>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</si>
  <si>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</si>
  <si>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</si>
  <si>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</si>
  <si>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</si>
  <si>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</si>
  <si>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</si>
  <si>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</si>
  <si>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</si>
  <si>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</si>
  <si>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</si>
  <si>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</si>
  <si>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</si>
  <si>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</si>
  <si>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</si>
  <si>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</si>
  <si>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</si>
  <si>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</si>
  <si>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</si>
  <si>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</si>
  <si>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</si>
  <si>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</si>
  <si>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</si>
  <si>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</si>
  <si>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</si>
  <si>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</si>
  <si>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</si>
  <si>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</si>
  <si>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</si>
  <si>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</si>
  <si>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</si>
  <si>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</si>
  <si>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</si>
  <si>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</si>
  <si>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</si>
  <si>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</si>
  <si>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</si>
  <si>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</si>
  <si>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</si>
  <si>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</si>
  <si>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</si>
  <si>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</si>
  <si>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</si>
  <si>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</si>
  <si>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</si>
  <si>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</si>
  <si>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</si>
  <si>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</si>
  <si>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</si>
  <si>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</si>
  <si>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</si>
  <si>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</si>
  <si>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</si>
  <si>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</si>
  <si>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</si>
  <si>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</si>
  <si>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</si>
  <si>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</si>
  <si>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</si>
  <si>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</si>
  <si>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</si>
  <si>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</si>
  <si>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</si>
  <si>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</si>
  <si>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</si>
  <si>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</si>
  <si>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</si>
  <si>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</si>
  <si>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</si>
  <si>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</si>
  <si>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</si>
  <si>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</si>
  <si>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</si>
  <si>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</si>
  <si>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</si>
  <si>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</si>
  <si>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</si>
  <si>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</si>
  <si>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</si>
  <si>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</si>
  <si>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</si>
  <si>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</si>
  <si>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</si>
  <si>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</si>
  <si>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</si>
  <si>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</si>
  <si>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</si>
  <si>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</si>
  <si>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</si>
  <si>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</si>
  <si>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</si>
  <si>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</si>
  <si>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</si>
  <si>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</si>
  <si>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</si>
  <si>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</si>
  <si>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</si>
  <si>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</si>
  <si>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</si>
  <si>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</si>
  <si>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</si>
  <si>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</si>
  <si>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</si>
  <si>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</si>
  <si>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</si>
  <si>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</si>
  <si>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</si>
  <si>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</si>
  <si>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</si>
  <si>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</si>
  <si>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</si>
  <si>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</si>
  <si>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</si>
  <si>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</si>
  <si>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</si>
  <si>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</si>
  <si>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</si>
  <si>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</si>
  <si>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</si>
  <si>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</si>
  <si>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</si>
  <si>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</si>
  <si>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</si>
  <si>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</si>
  <si>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</si>
  <si>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</si>
  <si>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</si>
  <si>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</si>
  <si>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</si>
  <si>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</si>
  <si>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</si>
  <si>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</si>
  <si>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</si>
  <si>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</si>
  <si>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</si>
  <si>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</si>
  <si>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</si>
  <si>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</si>
  <si>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</si>
  <si>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</si>
  <si>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</si>
  <si>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</si>
  <si>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</si>
  <si>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</si>
  <si>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</si>
  <si>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</si>
  <si>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</si>
  <si>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</si>
  <si>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</si>
  <si>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</si>
  <si>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</si>
  <si>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</si>
  <si>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</si>
  <si>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</si>
  <si>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</si>
  <si>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</si>
  <si>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</si>
  <si>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</si>
  <si>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</si>
  <si>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</si>
  <si>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</si>
  <si>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</si>
  <si>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</si>
  <si>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</si>
  <si>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</si>
  <si>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</si>
  <si>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</si>
  <si>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</si>
  <si>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</si>
  <si>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</si>
  <si>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</si>
  <si>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</si>
  <si>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</si>
  <si>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</si>
  <si>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</si>
  <si>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</si>
  <si>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</si>
  <si>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</si>
  <si>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</si>
  <si>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</si>
  <si>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</si>
  <si>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</si>
  <si>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</si>
  <si>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</si>
  <si>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</si>
  <si>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</si>
  <si>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</si>
  <si>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</si>
  <si>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</si>
  <si>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</si>
  <si>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</si>
  <si>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</si>
  <si>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</si>
  <si>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</si>
  <si>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</si>
  <si>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</si>
  <si>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</si>
  <si>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</si>
  <si>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</si>
  <si>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</si>
  <si>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</si>
  <si>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</si>
  <si>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</si>
  <si>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</si>
  <si>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</si>
  <si>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</si>
  <si>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</si>
  <si>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</si>
  <si>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</si>
  <si>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</si>
  <si>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</si>
  <si>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</si>
  <si>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</si>
  <si>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</si>
  <si>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</si>
  <si>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</si>
  <si>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</si>
  <si>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</si>
  <si>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</si>
  <si>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</si>
  <si>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</si>
  <si>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</si>
  <si>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</si>
  <si>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</si>
  <si>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</si>
  <si>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</si>
  <si>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</si>
  <si>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</si>
  <si>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</si>
  <si>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</si>
  <si>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</si>
  <si>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</si>
  <si>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</si>
  <si>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</si>
  <si>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</si>
  <si>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</si>
  <si>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</si>
  <si>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</si>
  <si>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</si>
  <si>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</si>
  <si>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</si>
  <si>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</si>
  <si>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</si>
  <si>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</si>
  <si>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</si>
  <si>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</si>
  <si>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</si>
  <si>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</si>
  <si>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</si>
  <si>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</si>
  <si>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</si>
  <si>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</si>
  <si>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</si>
  <si>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</si>
  <si>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</si>
  <si>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</si>
  <si>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</si>
  <si>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</si>
  <si>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</si>
  <si>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</si>
  <si>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</si>
  <si>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</si>
  <si>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</si>
  <si>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</si>
  <si>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</si>
  <si>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</si>
  <si>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</si>
  <si>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</si>
  <si>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</si>
  <si>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</si>
  <si>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</si>
  <si>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</si>
  <si>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</si>
  <si>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</si>
  <si>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</si>
  <si>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</si>
  <si>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</si>
  <si>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</si>
  <si>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</si>
  <si>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</si>
  <si>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</si>
  <si>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</si>
  <si>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</si>
  <si>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</si>
  <si>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</si>
  <si>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</si>
  <si>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</si>
  <si>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</si>
  <si>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</si>
  <si>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</si>
  <si>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</si>
  <si>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</si>
  <si>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</si>
  <si>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</si>
  <si>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</si>
  <si>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</si>
  <si>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</si>
  <si>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</si>
  <si>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</si>
  <si>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</si>
  <si>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</si>
  <si>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</si>
  <si>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</si>
  <si>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</si>
  <si>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</si>
  <si>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</si>
  <si>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</si>
  <si>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</si>
  <si>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</si>
  <si>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</si>
  <si>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</si>
  <si>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</si>
  <si>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</si>
  <si>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</si>
  <si>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</si>
  <si>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</si>
  <si>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</si>
  <si>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</si>
  <si>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</si>
  <si>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</si>
  <si>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</si>
  <si>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</si>
  <si>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</si>
  <si>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</si>
  <si>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</si>
  <si>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</si>
  <si>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</si>
  <si>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</si>
  <si>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</si>
  <si>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</si>
  <si>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</si>
  <si>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</si>
  <si>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</si>
  <si>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</si>
  <si>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</si>
  <si>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</si>
  <si>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</si>
  <si>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</si>
  <si>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</si>
  <si>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</si>
  <si>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</si>
  <si>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</si>
  <si>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</si>
  <si>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</si>
  <si>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</si>
  <si>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</si>
  <si>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</si>
  <si>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</si>
  <si>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</si>
  <si>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</si>
  <si>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</si>
  <si>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</si>
  <si>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</si>
  <si>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</si>
  <si>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</si>
  <si>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</si>
  <si>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</si>
  <si>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</si>
  <si>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</si>
  <si>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</si>
  <si>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</si>
  <si>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</si>
  <si>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</si>
  <si>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</si>
  <si>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</si>
  <si>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</si>
  <si>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</si>
  <si>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</si>
  <si>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</si>
  <si>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</si>
  <si>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</si>
  <si>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</si>
  <si>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</si>
  <si>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</si>
  <si>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</si>
  <si>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</si>
  <si>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</si>
  <si>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</si>
  <si>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</si>
  <si>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</si>
  <si>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</si>
  <si>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</si>
  <si>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</si>
  <si>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</si>
  <si>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</si>
  <si>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</si>
  <si>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</si>
  <si>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</si>
  <si>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</si>
  <si>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</si>
  <si>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</si>
  <si>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</si>
  <si>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</si>
  <si>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</si>
  <si>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</si>
  <si>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</si>
  <si>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</si>
  <si>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</si>
  <si>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</si>
  <si>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</si>
  <si>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</si>
  <si>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</si>
  <si>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</si>
  <si>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</si>
  <si>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</si>
  <si>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</si>
  <si>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</si>
  <si>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</si>
  <si>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</si>
  <si>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</si>
  <si>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</si>
  <si>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</si>
  <si>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</si>
  <si>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</si>
  <si>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</si>
  <si>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</si>
  <si>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</si>
  <si>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</si>
  <si>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</si>
  <si>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</si>
  <si>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</si>
  <si>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</si>
  <si>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</si>
  <si>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</si>
  <si>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</si>
  <si>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</si>
  <si>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</si>
  <si>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</si>
  <si>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</si>
  <si>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</si>
  <si>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</si>
  <si>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</si>
  <si>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</si>
  <si>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</si>
  <si>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</si>
  <si>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</si>
  <si>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</si>
  <si>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</si>
  <si>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</si>
  <si>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</si>
  <si>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</si>
  <si>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</si>
  <si>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</si>
  <si>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</si>
  <si>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</si>
  <si>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</si>
  <si>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</si>
  <si>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</si>
  <si>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</si>
  <si>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</si>
  <si>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</si>
  <si>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</si>
  <si>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</si>
  <si>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</si>
  <si>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</si>
  <si>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</si>
  <si>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</si>
  <si>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</si>
  <si>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</si>
  <si>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</si>
  <si>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</si>
  <si>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</si>
  <si>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</si>
  <si>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</si>
  <si>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</si>
  <si>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</si>
  <si>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</si>
  <si>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</si>
  <si>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</si>
  <si>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</si>
  <si>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</si>
  <si>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</si>
  <si>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</si>
  <si>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</si>
  <si>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</si>
  <si>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</si>
  <si>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</si>
  <si>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</si>
  <si>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</si>
  <si>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</si>
  <si>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</si>
  <si>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</si>
  <si>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</si>
  <si>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</si>
  <si>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</si>
  <si>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</si>
  <si>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</si>
  <si>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</si>
  <si>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</si>
  <si>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</si>
  <si>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</si>
  <si>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</si>
  <si>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</si>
  <si>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</si>
  <si>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</si>
  <si>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</si>
  <si>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</si>
  <si>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</si>
  <si>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</si>
  <si>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</si>
  <si>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</si>
  <si>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</si>
  <si>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</si>
  <si>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</si>
  <si>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</si>
  <si>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</si>
  <si>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</si>
  <si>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</si>
  <si>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</si>
  <si>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</si>
  <si>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</si>
  <si>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</si>
  <si>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</si>
  <si>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</si>
  <si>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</si>
  <si>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</si>
  <si>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</si>
  <si>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</si>
  <si>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</si>
  <si>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</si>
  <si>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</si>
  <si>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</si>
  <si>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</si>
  <si>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</si>
  <si>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</si>
  <si>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</si>
  <si>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</si>
  <si>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</si>
  <si>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</si>
  <si>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</si>
  <si>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</si>
  <si>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</si>
  <si>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</si>
  <si>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</si>
  <si>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</si>
  <si>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</si>
  <si>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</si>
  <si>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</si>
  <si>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</si>
  <si>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</si>
  <si>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</si>
  <si>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</si>
  <si>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</si>
  <si>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</si>
  <si>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</si>
  <si>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</si>
  <si>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</si>
  <si>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</si>
  <si>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</si>
  <si>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</si>
  <si>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</si>
  <si>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</si>
  <si>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</si>
  <si>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</si>
  <si>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</si>
  <si>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</si>
  <si>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</si>
  <si>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</si>
  <si>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</si>
  <si>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</si>
  <si>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</si>
  <si>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</si>
  <si>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</si>
  <si>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</si>
  <si>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</si>
  <si>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</si>
  <si>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</si>
  <si>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</si>
  <si>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</si>
  <si>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</si>
  <si>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</si>
  <si>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</si>
  <si>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</si>
  <si>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</si>
  <si>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</si>
  <si>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</si>
  <si>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</si>
  <si>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</si>
  <si>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</si>
  <si>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</si>
  <si>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</si>
  <si>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</si>
  <si>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</si>
  <si>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</si>
  <si>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</si>
  <si>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</si>
  <si>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</si>
  <si>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</si>
  <si>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</si>
  <si>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</si>
  <si>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</si>
  <si>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</si>
  <si>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</si>
  <si>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</si>
  <si>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</si>
  <si>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</si>
  <si>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</si>
  <si>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</si>
  <si>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</si>
  <si>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</si>
  <si>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</si>
  <si>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</si>
  <si>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</si>
  <si>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</si>
  <si>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</si>
  <si>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</si>
  <si>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</si>
  <si>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</si>
  <si>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</si>
  <si>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</si>
  <si>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</si>
  <si>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</si>
  <si>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</si>
  <si>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</si>
  <si>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</si>
  <si>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</si>
  <si>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</si>
  <si>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</si>
  <si>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</si>
  <si>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</si>
  <si>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</si>
  <si>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</si>
  <si>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</si>
  <si>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</si>
  <si>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</si>
  <si>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</si>
  <si>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</si>
  <si>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</si>
  <si>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</si>
  <si>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</si>
  <si>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</si>
  <si>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</si>
  <si>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</si>
  <si>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</si>
  <si>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</si>
  <si>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</si>
  <si>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</si>
  <si>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</si>
  <si>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</si>
  <si>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</si>
  <si>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</si>
  <si>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</si>
  <si>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</si>
  <si>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</si>
  <si>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</si>
  <si>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</si>
  <si>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</si>
  <si>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</si>
  <si>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</si>
  <si>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</si>
  <si>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</si>
  <si>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</si>
  <si>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</si>
  <si>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</si>
  <si>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</si>
  <si>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</si>
  <si>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</si>
  <si>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</si>
  <si>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</si>
  <si>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</si>
  <si>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</si>
  <si>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</si>
  <si>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</si>
  <si>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</si>
  <si>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</si>
  <si>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</si>
  <si>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</si>
  <si>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</si>
  <si>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</si>
  <si>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</si>
  <si>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</si>
  <si>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</si>
  <si>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</si>
  <si>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</si>
  <si>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</si>
  <si>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</si>
  <si>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</si>
  <si>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</si>
  <si>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</si>
  <si>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</si>
  <si>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</si>
  <si>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</si>
  <si>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</si>
  <si>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</si>
  <si>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</si>
  <si>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</si>
  <si>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</si>
  <si>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</si>
  <si>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</si>
  <si>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</si>
  <si>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</si>
  <si>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</si>
  <si>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</si>
  <si>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</si>
  <si>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</si>
  <si>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</si>
  <si>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</si>
  <si>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</si>
  <si>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</si>
  <si>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</si>
  <si>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</si>
  <si>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</si>
  <si>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</si>
  <si>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</si>
  <si>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</si>
  <si>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</si>
  <si>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</si>
  <si>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</si>
  <si>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</si>
  <si>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</si>
  <si>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</si>
  <si>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</si>
  <si>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</si>
  <si>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</si>
  <si>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</si>
  <si>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</si>
  <si>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</si>
  <si>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</si>
  <si>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</si>
  <si>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</si>
  <si>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</si>
  <si>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</si>
  <si>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</si>
  <si>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</si>
  <si>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</si>
  <si>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</si>
  <si>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</si>
  <si>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</si>
  <si>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</si>
  <si>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</si>
  <si>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</si>
  <si>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</si>
  <si>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</si>
  <si>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</si>
  <si>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</si>
  <si>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</si>
  <si>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</si>
  <si>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</si>
  <si>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</si>
  <si>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</si>
  <si>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</si>
  <si>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</si>
  <si>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</si>
  <si>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</si>
  <si>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</si>
  <si>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</si>
  <si>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</si>
  <si>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</si>
  <si>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</si>
  <si>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</si>
  <si>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</si>
  <si>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</si>
  <si>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</si>
  <si>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</si>
  <si>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</si>
  <si>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</si>
  <si>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</si>
  <si>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</si>
  <si>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</si>
  <si>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</si>
  <si>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</si>
  <si>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</si>
  <si>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</si>
  <si>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</si>
  <si>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</si>
  <si>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</si>
  <si>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</si>
  <si>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</si>
  <si>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</si>
  <si>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</si>
  <si>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</si>
  <si>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</si>
  <si>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</si>
  <si>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</si>
  <si>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</si>
  <si>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</si>
  <si>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</si>
  <si>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</si>
  <si>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</si>
  <si>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</si>
  <si>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</si>
  <si>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</si>
  <si>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</si>
  <si>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</si>
  <si>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</si>
  <si>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</si>
  <si>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</si>
  <si>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</si>
  <si>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</si>
  <si>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</si>
  <si>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</si>
  <si>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</si>
  <si>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</si>
  <si>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</si>
  <si>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</si>
  <si>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</si>
  <si>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</si>
  <si>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</si>
  <si>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</si>
  <si>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</si>
  <si>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</si>
  <si>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</si>
  <si>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</si>
  <si>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</si>
  <si>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</si>
  <si>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</si>
  <si>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</si>
  <si>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</si>
  <si>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</si>
  <si>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</si>
  <si>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</si>
  <si>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</si>
  <si>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</si>
  <si>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</si>
  <si>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</si>
  <si>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</si>
  <si>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</si>
  <si>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</si>
  <si>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</si>
  <si>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</si>
  <si>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</si>
  <si>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</si>
  <si>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</si>
  <si>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</si>
  <si>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</si>
  <si>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</si>
  <si>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</si>
  <si>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</si>
  <si>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</si>
  <si>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</si>
  <si>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</si>
  <si>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</si>
  <si>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</si>
  <si>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</si>
  <si>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</si>
  <si>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</si>
  <si>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</si>
  <si>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</si>
  <si>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</si>
  <si>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</si>
  <si>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</si>
  <si>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</si>
  <si>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</si>
  <si>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</si>
  <si>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</si>
  <si>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</si>
  <si>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</si>
  <si>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</si>
  <si>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</si>
  <si>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</si>
  <si>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</si>
  <si>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</si>
  <si>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</si>
  <si>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</si>
  <si>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</si>
  <si>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</si>
  <si>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</si>
  <si>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</si>
  <si>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</si>
  <si>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</si>
  <si>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</si>
  <si>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</si>
  <si>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</si>
  <si>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</si>
  <si>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</si>
  <si>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</si>
  <si>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</si>
  <si>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</si>
  <si>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</si>
  <si>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</si>
  <si>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</si>
  <si>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</si>
  <si>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</si>
  <si>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</si>
  <si>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</si>
  <si>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</si>
  <si>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</si>
  <si>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</si>
  <si>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</si>
  <si>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</si>
  <si>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</si>
  <si>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</si>
  <si>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</si>
  <si>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</si>
  <si>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</si>
  <si>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</si>
  <si>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</si>
  <si>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</si>
  <si>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</si>
  <si>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</si>
  <si>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</si>
  <si>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</si>
  <si>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</si>
  <si>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</si>
  <si>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</si>
  <si>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</si>
  <si>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</si>
  <si>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</si>
  <si>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</si>
  <si>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</si>
  <si>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</si>
  <si>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</si>
  <si>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</si>
  <si>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</si>
  <si>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</si>
  <si>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</si>
  <si>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</si>
  <si>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</si>
  <si>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</si>
  <si>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</si>
  <si>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</si>
  <si>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</si>
  <si>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</si>
  <si>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</si>
  <si>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</si>
  <si>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</si>
  <si>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</si>
  <si>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</si>
  <si>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</si>
  <si>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</si>
  <si>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</si>
  <si>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</si>
  <si>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</si>
  <si>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</si>
  <si>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</si>
  <si>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</si>
  <si>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</si>
  <si>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</si>
  <si>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</si>
  <si>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</si>
  <si>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</si>
  <si>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</si>
  <si>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</si>
  <si>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</si>
  <si>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</si>
  <si>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</si>
  <si>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</si>
  <si>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</si>
  <si>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</si>
  <si>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</si>
  <si>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</si>
  <si>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</si>
  <si>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</si>
  <si>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</si>
  <si>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</si>
  <si>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</si>
  <si>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</si>
  <si>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</si>
  <si>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</si>
  <si>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</si>
  <si>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</si>
  <si>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</si>
  <si>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</si>
  <si>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</si>
  <si>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</si>
  <si>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</si>
  <si>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</si>
  <si>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</si>
  <si>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</si>
  <si>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</si>
  <si>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</si>
  <si>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</si>
  <si>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</si>
  <si>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</si>
  <si>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</si>
  <si>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</si>
  <si>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</si>
  <si>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</si>
  <si>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</si>
  <si>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</si>
  <si>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</si>
  <si>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</si>
  <si>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</si>
  <si>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</si>
  <si>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</si>
  <si>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</si>
  <si>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</si>
  <si>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</si>
  <si>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</si>
  <si>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</si>
  <si>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</si>
  <si>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</si>
  <si>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</si>
  <si>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</si>
  <si>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</si>
  <si>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</si>
  <si>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</si>
  <si>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</si>
  <si>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</si>
  <si>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</si>
  <si>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</si>
  <si>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</si>
  <si>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</si>
  <si>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</si>
  <si>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</si>
  <si>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</si>
  <si>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</si>
  <si>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</si>
  <si>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</si>
  <si>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</si>
  <si>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</si>
  <si>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</si>
  <si>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</si>
  <si>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</si>
  <si>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</si>
  <si>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</si>
  <si>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</si>
  <si>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</si>
  <si>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</si>
  <si>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</si>
  <si>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</si>
  <si>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</si>
  <si>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</si>
  <si>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</si>
  <si>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</si>
  <si>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</si>
  <si>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</si>
  <si>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</si>
  <si>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</si>
  <si>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</si>
  <si>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</si>
  <si>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</si>
  <si>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</si>
  <si>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</si>
  <si>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</si>
  <si>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</si>
  <si>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</si>
  <si>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</si>
  <si>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</si>
  <si>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</si>
  <si>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</si>
  <si>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</si>
  <si>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</si>
  <si>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</si>
  <si>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</si>
  <si>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</si>
  <si>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</si>
  <si>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</si>
  <si>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</si>
  <si>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</si>
  <si>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</si>
  <si>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</si>
  <si>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</si>
  <si>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</si>
  <si>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</si>
  <si>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</si>
  <si>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</si>
  <si>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</si>
  <si>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</si>
  <si>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</si>
  <si>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</si>
  <si>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</si>
  <si>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</si>
  <si>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</si>
  <si>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</si>
  <si>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</si>
  <si>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</si>
  <si>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</si>
  <si>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</si>
  <si>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</si>
  <si>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</si>
  <si>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</si>
  <si>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</si>
  <si>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</si>
  <si>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</si>
  <si>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</si>
  <si>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</si>
  <si>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</si>
  <si>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</si>
  <si>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</si>
  <si>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</si>
  <si>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</si>
  <si>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</si>
  <si>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</si>
  <si>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</si>
  <si>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</si>
  <si>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</si>
  <si>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</si>
  <si>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</si>
  <si>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</si>
  <si>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</si>
  <si>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</si>
  <si>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</si>
  <si>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</si>
  <si>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</si>
  <si>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</si>
  <si>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</si>
  <si>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</si>
  <si>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</si>
  <si>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</si>
  <si>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</si>
  <si>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</si>
  <si>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</si>
  <si>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</si>
  <si>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</si>
  <si>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</si>
  <si>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</si>
  <si>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</si>
  <si>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</si>
  <si>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</si>
  <si>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</si>
  <si>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</si>
  <si>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</si>
  <si>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</si>
  <si>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</si>
  <si>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</si>
  <si>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</si>
  <si>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</si>
  <si>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</si>
  <si>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</si>
  <si>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</si>
  <si>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</si>
  <si>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</si>
  <si>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</si>
  <si>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</si>
  <si>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</si>
  <si>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</si>
  <si>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</si>
  <si>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</si>
  <si>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</si>
  <si>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</si>
  <si>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</si>
  <si>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</si>
  <si>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</si>
  <si>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</si>
  <si>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</si>
  <si>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</si>
  <si>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</si>
  <si>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</si>
  <si>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</si>
  <si>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</si>
  <si>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</si>
  <si>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</si>
  <si>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</si>
  <si>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</si>
  <si>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</si>
  <si>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</si>
  <si>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</si>
  <si>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</si>
  <si>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</si>
  <si>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</si>
  <si>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</si>
  <si>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</si>
  <si>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</si>
  <si>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</si>
  <si>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</si>
  <si>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</si>
  <si>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</si>
  <si>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</si>
  <si>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</si>
  <si>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</si>
  <si>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</si>
  <si>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</si>
  <si>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</si>
  <si>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</si>
  <si>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</si>
  <si>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</si>
  <si>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</si>
  <si>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</si>
  <si>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</si>
  <si>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</si>
  <si>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</si>
  <si>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</si>
  <si>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</si>
  <si>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</si>
  <si>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</si>
  <si>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</si>
  <si>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</si>
  <si>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</si>
  <si>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</si>
  <si>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</si>
  <si>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</si>
  <si>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</si>
  <si>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</si>
  <si>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</si>
  <si>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</si>
  <si>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</si>
  <si>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</si>
  <si>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</si>
  <si>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</si>
  <si>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</si>
  <si>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</si>
  <si>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</si>
  <si>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</si>
  <si>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</si>
  <si>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</si>
  <si>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</si>
  <si>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</si>
  <si>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</si>
  <si>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</si>
  <si>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</si>
  <si>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</si>
  <si>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</si>
  <si>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</si>
  <si>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</si>
  <si>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</si>
  <si>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</si>
  <si>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</si>
  <si>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</si>
  <si>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</si>
  <si>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</si>
  <si>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</si>
  <si>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</si>
  <si>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</si>
  <si>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</si>
  <si>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</si>
  <si>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</si>
  <si>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</si>
  <si>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</si>
  <si>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</si>
  <si>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</si>
  <si>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</si>
  <si>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</si>
  <si>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</si>
  <si>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</si>
  <si>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</si>
  <si>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</si>
  <si>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</si>
  <si>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</si>
  <si>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</si>
  <si>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</si>
  <si>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</si>
  <si>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</si>
  <si>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</si>
  <si>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</si>
  <si>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</si>
  <si>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</si>
  <si>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</si>
  <si>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</si>
  <si>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</si>
  <si>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</si>
  <si>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</si>
  <si>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</si>
  <si>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</si>
  <si>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</si>
  <si>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</si>
  <si>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</si>
  <si>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</si>
  <si>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</si>
  <si>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</si>
  <si>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</si>
  <si>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</si>
  <si>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</si>
  <si>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</si>
  <si>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</si>
  <si>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</si>
  <si>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</si>
  <si>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</si>
  <si>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</si>
  <si>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</si>
  <si>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</si>
  <si>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</si>
  <si>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</si>
  <si>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</si>
  <si>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</si>
  <si>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</si>
  <si>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</si>
  <si>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</si>
  <si>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</si>
  <si>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</si>
  <si>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</si>
  <si>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</si>
  <si>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</si>
  <si>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</si>
  <si>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</si>
  <si>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</si>
  <si>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</si>
  <si>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</si>
  <si>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</si>
  <si>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</si>
  <si>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</si>
  <si>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</si>
  <si>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</si>
  <si>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</si>
  <si>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</si>
  <si>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</si>
  <si>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</si>
  <si>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</si>
  <si>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</si>
  <si>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</si>
  <si>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</si>
  <si>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</si>
  <si>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</si>
  <si>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</si>
  <si>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</si>
  <si>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</si>
  <si>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</si>
  <si>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</si>
  <si>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</si>
  <si>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</si>
  <si>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</si>
  <si>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</si>
  <si>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</si>
  <si>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</si>
  <si>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</si>
  <si>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</si>
  <si>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</si>
  <si>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</si>
  <si>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</si>
  <si>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</si>
  <si>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</si>
  <si>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</si>
  <si>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</si>
  <si>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</si>
  <si>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</si>
  <si>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</si>
  <si>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</si>
  <si>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</si>
  <si>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</si>
  <si>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</si>
  <si>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</si>
  <si>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</si>
  <si>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</si>
  <si>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</si>
  <si>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</si>
  <si>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</si>
  <si>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</si>
  <si>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</si>
  <si>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</si>
  <si>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</si>
  <si>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</si>
  <si>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</si>
  <si>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</si>
  <si>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</si>
  <si>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</si>
  <si>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</si>
  <si>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</si>
  <si>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</si>
  <si>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</si>
  <si>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</si>
  <si>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</si>
  <si>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</si>
  <si>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</si>
  <si>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</si>
  <si>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</si>
  <si>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</si>
  <si>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</si>
  <si>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</si>
  <si>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</si>
  <si>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</si>
  <si>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</si>
  <si>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</si>
  <si>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</si>
  <si>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</si>
  <si>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</si>
  <si>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</si>
  <si>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</si>
  <si>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</si>
  <si>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</si>
  <si>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</si>
  <si>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</si>
  <si>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</si>
  <si>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</si>
  <si>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</si>
  <si>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</si>
  <si>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</si>
  <si>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</si>
  <si>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</si>
  <si>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</si>
  <si>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</si>
  <si>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</si>
  <si>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</si>
  <si>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</si>
  <si>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</si>
  <si>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</si>
  <si>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</si>
  <si>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</si>
  <si>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</si>
  <si>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</si>
  <si>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</si>
  <si>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</si>
  <si>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</si>
  <si>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</si>
  <si>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</si>
  <si>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</si>
  <si>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</si>
  <si>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</si>
  <si>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</si>
  <si>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</si>
  <si>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</si>
  <si>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</si>
  <si>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</si>
  <si>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</si>
  <si>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</si>
  <si>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</si>
  <si>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</si>
  <si>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</si>
  <si>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</si>
  <si>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</si>
  <si>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</si>
  <si>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</si>
  <si>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</si>
  <si>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</si>
  <si>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</si>
  <si>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</si>
  <si>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</si>
  <si>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</si>
  <si>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</si>
  <si>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</si>
  <si>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</si>
  <si>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</si>
  <si>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</si>
  <si>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</si>
  <si>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</si>
  <si>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</si>
  <si>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</si>
  <si>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</si>
  <si>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</si>
  <si>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</si>
  <si>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</si>
  <si>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</si>
  <si>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</si>
  <si>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</si>
  <si>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</si>
  <si>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</si>
  <si>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</si>
  <si>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</si>
  <si>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</si>
  <si>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</si>
  <si>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</si>
  <si>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</si>
  <si>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</si>
  <si>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</si>
  <si>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</si>
  <si>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</si>
  <si>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</si>
  <si>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</si>
  <si>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</si>
  <si>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</si>
  <si>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</si>
  <si>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</si>
  <si>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</si>
  <si>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</si>
  <si>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</si>
  <si>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</si>
  <si>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</si>
  <si>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</si>
  <si>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</si>
  <si>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</si>
  <si>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</si>
  <si>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</si>
  <si>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</si>
  <si>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</si>
  <si>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</si>
  <si>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</si>
  <si>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</si>
  <si>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</si>
  <si>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</si>
  <si>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</si>
  <si>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</si>
  <si>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</si>
  <si>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</si>
  <si>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</si>
  <si>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</si>
  <si>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</si>
  <si>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</si>
  <si>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</si>
  <si>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</si>
  <si>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</si>
  <si>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</si>
  <si>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</si>
  <si>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</si>
  <si>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</si>
  <si>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</si>
  <si>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</si>
  <si>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</si>
  <si>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</si>
  <si>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</si>
  <si>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</si>
  <si>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</si>
  <si>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</si>
  <si>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</si>
  <si>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</si>
  <si>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</si>
  <si>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</si>
  <si>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</si>
  <si>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</si>
  <si>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</si>
  <si>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</si>
  <si>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</si>
  <si>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</si>
  <si>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</si>
  <si>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</si>
  <si>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</si>
  <si>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</si>
  <si>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</si>
  <si>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</si>
  <si>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</si>
  <si>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</si>
  <si>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</si>
  <si>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</si>
  <si>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</si>
  <si>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</si>
  <si>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</si>
  <si>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</si>
  <si>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</si>
  <si>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</si>
  <si>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</si>
  <si>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</si>
  <si>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</si>
  <si>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</si>
  <si>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</si>
  <si>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</si>
  <si>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</si>
  <si>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</si>
  <si>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</si>
  <si>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</si>
  <si>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</si>
  <si>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</si>
  <si>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</si>
  <si>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</si>
  <si>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</si>
  <si>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</si>
  <si>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</si>
  <si>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</si>
  <si>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</si>
  <si>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</si>
  <si>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</si>
  <si>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</si>
  <si>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</si>
  <si>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</si>
  <si>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</si>
  <si>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</si>
  <si>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</si>
  <si>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</si>
  <si>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</si>
  <si>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</si>
  <si>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</si>
  <si>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</si>
  <si>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</si>
  <si>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</si>
  <si>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</si>
  <si>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</si>
  <si>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</si>
  <si>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</si>
  <si>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</si>
  <si>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</si>
  <si>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</si>
  <si>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</si>
  <si>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</si>
  <si>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</si>
  <si>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</si>
  <si>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</si>
  <si>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</si>
  <si>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</si>
  <si>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</si>
  <si>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</si>
  <si>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</si>
  <si>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</si>
  <si>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</si>
  <si>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</si>
  <si>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</si>
  <si>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</si>
  <si>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</si>
  <si>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</si>
  <si>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</si>
  <si>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</si>
  <si>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</si>
  <si>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</si>
  <si>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</si>
  <si>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</si>
  <si>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</si>
  <si>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</si>
  <si>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</si>
  <si>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</si>
  <si>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</si>
  <si>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</si>
  <si>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</si>
  <si>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</si>
  <si>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</si>
  <si>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</si>
  <si>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</si>
  <si>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</si>
  <si>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</si>
  <si>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</si>
  <si>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</si>
  <si>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</si>
  <si>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</si>
  <si>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</si>
  <si>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</si>
  <si>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</si>
  <si>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</si>
  <si>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</si>
  <si>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</si>
  <si>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</si>
  <si>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</si>
  <si>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</si>
  <si>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</si>
  <si>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</si>
  <si>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</si>
  <si>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</si>
  <si>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</si>
  <si>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</si>
  <si>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</si>
  <si>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</si>
  <si>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</si>
  <si>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</si>
  <si>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</si>
  <si>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</si>
  <si>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</si>
  <si>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</si>
  <si>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</si>
  <si>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</si>
  <si>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</si>
  <si>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</si>
  <si>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</si>
  <si>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</si>
  <si>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</si>
  <si>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</si>
  <si>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</si>
  <si>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</si>
  <si>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</si>
  <si>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</si>
  <si>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</si>
  <si>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</si>
  <si>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</si>
  <si>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</si>
  <si>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</si>
  <si>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</si>
  <si>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</si>
  <si>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</si>
  <si>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</si>
  <si>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</si>
  <si>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</si>
  <si>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</si>
  <si>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</si>
  <si>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</si>
  <si>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</si>
  <si>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</si>
  <si>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</si>
  <si>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</si>
  <si>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</si>
  <si>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</si>
  <si>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</si>
  <si>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</si>
  <si>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</si>
  <si>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</si>
  <si>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</si>
  <si>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</si>
  <si>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</si>
  <si>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</si>
  <si>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</si>
  <si>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</si>
  <si>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</si>
  <si>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</si>
  <si>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</si>
  <si>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</si>
  <si>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</si>
  <si>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</si>
  <si>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</si>
  <si>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</si>
  <si>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</si>
  <si>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</si>
  <si>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</si>
  <si>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</si>
  <si>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</si>
  <si>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</si>
  <si>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</si>
  <si>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</si>
  <si>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</si>
  <si>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</si>
  <si>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</si>
  <si>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</si>
  <si>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</si>
  <si>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</si>
  <si>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</si>
  <si>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</si>
  <si>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</si>
  <si>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</si>
  <si>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</si>
  <si>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</si>
  <si>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</si>
  <si>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</si>
  <si>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</si>
  <si>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</si>
  <si>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</si>
  <si>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</si>
  <si>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</si>
  <si>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</si>
  <si>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</si>
  <si>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</si>
  <si>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</si>
  <si>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</si>
  <si>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</si>
  <si>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</si>
  <si>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</si>
  <si>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</si>
  <si>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</si>
  <si>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</si>
  <si>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</si>
  <si>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</si>
  <si>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</si>
  <si>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</si>
  <si>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</si>
  <si>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</si>
  <si>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</si>
  <si>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</si>
  <si>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</si>
  <si>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</si>
  <si>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</si>
  <si>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</si>
  <si>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</si>
  <si>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</si>
  <si>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</si>
  <si>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</si>
  <si>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</si>
  <si>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</si>
  <si>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</si>
  <si>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</si>
  <si>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</si>
  <si>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</si>
  <si>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</si>
  <si>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</si>
  <si>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</si>
  <si>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</si>
  <si>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</si>
  <si>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</si>
  <si>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</si>
  <si>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</si>
  <si>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</si>
  <si>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</si>
  <si>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</si>
  <si>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</si>
  <si>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</si>
  <si>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</si>
  <si>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</si>
  <si>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</si>
  <si>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</si>
  <si>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</si>
  <si>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</si>
  <si>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</si>
  <si>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</si>
  <si>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</si>
  <si>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</si>
  <si>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</si>
  <si>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</si>
  <si>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</si>
  <si>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</si>
  <si>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</si>
  <si>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</si>
  <si>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</si>
  <si>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</si>
  <si>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</si>
  <si>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</si>
  <si>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</si>
  <si>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</si>
  <si>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</si>
  <si>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</si>
  <si>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</si>
  <si>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</si>
  <si>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</si>
  <si>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</si>
  <si>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</si>
  <si>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</si>
  <si>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</si>
  <si>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</si>
  <si>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</si>
  <si>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</si>
  <si>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</si>
  <si>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</si>
  <si>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</si>
  <si>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</si>
  <si>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</si>
  <si>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</si>
  <si>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</si>
  <si>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</si>
  <si>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</si>
  <si>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</si>
  <si>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</si>
  <si>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</si>
  <si>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</si>
  <si>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</si>
  <si>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</si>
  <si>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</si>
  <si>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</si>
  <si>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</si>
  <si>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</si>
  <si>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</si>
  <si>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</si>
  <si>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</si>
  <si>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</si>
  <si>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</si>
  <si>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</si>
  <si>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</si>
  <si>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</si>
  <si>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</si>
  <si>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</si>
  <si>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</si>
  <si>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</si>
  <si>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</si>
  <si>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</si>
  <si>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</si>
  <si>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</si>
  <si>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</si>
  <si>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</si>
  <si>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</si>
  <si>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</si>
  <si>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</si>
  <si>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</si>
  <si>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</si>
  <si>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</si>
  <si>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</si>
  <si>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</si>
  <si>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</si>
  <si>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</si>
  <si>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</si>
  <si>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</si>
  <si>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</si>
  <si>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</si>
  <si>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</si>
  <si>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</si>
  <si>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</si>
  <si>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</si>
  <si>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</si>
  <si>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</si>
  <si>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</si>
  <si>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</si>
  <si>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</si>
  <si>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</si>
  <si>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</si>
  <si>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</si>
  <si>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</si>
  <si>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</si>
  <si>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</si>
  <si>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</si>
  <si>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</si>
  <si>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</si>
  <si>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</si>
  <si>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</si>
  <si>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</si>
  <si>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</si>
  <si>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</si>
  <si>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</si>
  <si>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</si>
  <si>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</si>
  <si>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</si>
  <si>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</si>
  <si>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</si>
  <si>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</si>
  <si>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</si>
  <si>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</si>
  <si>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</si>
  <si>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</si>
  <si>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</si>
  <si>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</si>
  <si>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</si>
  <si>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</si>
  <si>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</si>
  <si>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</si>
  <si>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</si>
  <si>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</si>
  <si>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</si>
  <si>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</si>
  <si>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</si>
  <si>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</si>
  <si>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</si>
  <si>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</si>
  <si>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</si>
  <si>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</si>
  <si>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</si>
  <si>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</si>
  <si>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</si>
  <si>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</si>
  <si>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</si>
  <si>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</si>
  <si>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</si>
  <si>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</si>
  <si>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</si>
  <si>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</si>
  <si>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</si>
  <si>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</si>
  <si>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</si>
  <si>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</si>
  <si>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</si>
  <si>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</si>
  <si>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</si>
  <si>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</si>
  <si>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</si>
  <si>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</si>
  <si>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</si>
  <si>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</si>
  <si>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</si>
  <si>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</si>
  <si>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</si>
  <si>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</si>
  <si>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</si>
  <si>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</si>
  <si>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</si>
  <si>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</si>
  <si>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</si>
  <si>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</si>
  <si>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</si>
  <si>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</si>
  <si>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</si>
  <si>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</si>
  <si>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</si>
  <si>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</si>
  <si>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</si>
  <si>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</si>
  <si>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</si>
  <si>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</si>
  <si>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</si>
  <si>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</si>
  <si>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</si>
  <si>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</si>
  <si>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</si>
  <si>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</si>
  <si>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</si>
  <si>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</si>
  <si>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</si>
  <si>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</si>
  <si>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</si>
  <si>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</si>
  <si>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</si>
  <si>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</si>
  <si>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</si>
  <si>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</si>
  <si>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</si>
  <si>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</si>
  <si>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</si>
  <si>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</si>
  <si>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</si>
  <si>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</si>
  <si>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</si>
  <si>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</si>
  <si>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</si>
  <si>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</si>
  <si>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</si>
  <si>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</si>
  <si>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</si>
  <si>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</si>
  <si>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</si>
  <si>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</si>
  <si>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</si>
  <si>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</si>
  <si>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</si>
  <si>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</si>
  <si>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</si>
  <si>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</si>
  <si>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</si>
  <si>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</si>
  <si>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</si>
  <si>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</si>
  <si>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</si>
  <si>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</si>
  <si>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</si>
  <si>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</si>
  <si>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</si>
  <si>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</si>
  <si>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</si>
  <si>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</si>
  <si>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</si>
  <si>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</si>
  <si>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</si>
  <si>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</si>
  <si>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</si>
  <si>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</si>
  <si>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</si>
  <si>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</si>
  <si>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</si>
  <si>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</si>
  <si>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</si>
  <si>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</si>
  <si>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</si>
  <si>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</si>
  <si>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</si>
  <si>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</si>
  <si>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</si>
  <si>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</si>
  <si>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</si>
  <si>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</si>
  <si>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</si>
  <si>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</si>
  <si>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</si>
  <si>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</si>
  <si>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</si>
  <si>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</si>
  <si>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</si>
  <si>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</si>
  <si>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</si>
  <si>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</si>
  <si>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</si>
  <si>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</si>
  <si>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</si>
  <si>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</si>
  <si>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</si>
  <si>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</si>
  <si>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</si>
  <si>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</si>
  <si>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</si>
  <si>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</si>
  <si>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</si>
  <si>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</si>
  <si>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</si>
  <si>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</si>
  <si>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</si>
  <si>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</si>
  <si>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</si>
  <si>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</si>
  <si>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</si>
  <si>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</si>
  <si>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</si>
  <si>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</si>
  <si>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</si>
  <si>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</si>
  <si>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</si>
  <si>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</si>
  <si>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</si>
  <si>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</si>
  <si>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</si>
  <si>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</si>
  <si>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</si>
  <si>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</si>
  <si>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</si>
  <si>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</si>
  <si>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</si>
  <si>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</si>
  <si>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</si>
  <si>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</si>
  <si>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</si>
  <si>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</si>
  <si>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</si>
  <si>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</si>
  <si>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</si>
  <si>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</si>
  <si>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</si>
  <si>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</si>
  <si>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</si>
  <si>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</si>
  <si>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</si>
  <si>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</si>
  <si>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</si>
  <si>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</si>
  <si>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</si>
  <si>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</si>
  <si>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</si>
  <si>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</si>
  <si>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</si>
  <si>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</si>
  <si>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</si>
  <si>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</si>
  <si>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</si>
  <si>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</si>
  <si>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</si>
  <si>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</si>
  <si>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</si>
  <si>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</si>
  <si>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</si>
  <si>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</si>
  <si>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</si>
  <si>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</si>
  <si>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</si>
  <si>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</si>
  <si>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</si>
  <si>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</si>
  <si>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</si>
  <si>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</si>
  <si>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</si>
  <si>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</si>
  <si>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</si>
  <si>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</si>
  <si>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</si>
  <si>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</si>
  <si>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</si>
  <si>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</si>
  <si>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</si>
  <si>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</si>
  <si>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</si>
  <si>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</si>
  <si>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</si>
  <si>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</si>
  <si>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</si>
  <si>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</si>
  <si>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</si>
  <si>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</si>
  <si>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</si>
  <si>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</si>
  <si>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</si>
  <si>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</si>
  <si>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</si>
  <si>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</si>
  <si>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</si>
  <si>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</si>
  <si>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</si>
  <si>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</si>
  <si>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</si>
  <si>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</si>
  <si>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</si>
  <si>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</si>
  <si>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</si>
  <si>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</si>
  <si>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</si>
  <si>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</si>
  <si>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</si>
  <si>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</si>
  <si>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</si>
  <si>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</si>
  <si>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</si>
  <si>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</si>
  <si>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</si>
  <si>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</si>
  <si>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</si>
  <si>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</si>
  <si>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</si>
  <si>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</si>
  <si>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</si>
  <si>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</si>
  <si>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</si>
  <si>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</si>
  <si>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</si>
  <si>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</si>
  <si>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</si>
  <si>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</si>
  <si>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</si>
  <si>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</si>
  <si>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</si>
  <si>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</si>
  <si>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</si>
  <si>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</si>
  <si>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</si>
  <si>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</si>
  <si>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</si>
  <si>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</si>
  <si>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</si>
  <si>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</si>
  <si>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</si>
  <si>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</si>
  <si>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</si>
  <si>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</si>
  <si>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</si>
  <si>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</si>
  <si>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</si>
  <si>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</si>
  <si>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</si>
  <si>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</si>
  <si>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</si>
  <si>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</si>
  <si>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</si>
  <si>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</si>
  <si>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</si>
  <si>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</si>
  <si>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</si>
  <si>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</si>
  <si>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</si>
  <si>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</si>
  <si>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</si>
  <si>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</si>
  <si>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</si>
  <si>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</si>
  <si>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</si>
  <si>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</si>
  <si>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</si>
  <si>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</si>
  <si>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</si>
  <si>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</si>
  <si>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</si>
  <si>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</si>
  <si>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</si>
  <si>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</si>
  <si>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</si>
  <si>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</si>
  <si>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</si>
  <si>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</si>
  <si>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</si>
  <si>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</si>
  <si>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</si>
  <si>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</si>
  <si>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</si>
  <si>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</si>
  <si>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</si>
  <si>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</si>
  <si>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</si>
  <si>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</si>
  <si>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</si>
  <si>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</si>
  <si>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</si>
  <si>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</si>
  <si>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</si>
  <si>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</si>
  <si>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</si>
  <si>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</si>
  <si>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</si>
  <si>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</si>
  <si>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</si>
  <si>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</si>
  <si>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</si>
  <si>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</si>
  <si>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</si>
  <si>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</si>
  <si>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</si>
  <si>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</si>
  <si>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</si>
  <si>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</si>
  <si>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</si>
  <si>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</si>
  <si>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</si>
  <si>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</si>
  <si>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</si>
  <si>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</si>
  <si>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</si>
  <si>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</si>
  <si>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</si>
  <si>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</si>
  <si>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</si>
  <si>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</si>
  <si>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</si>
  <si>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</si>
  <si>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</si>
  <si>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</si>
  <si>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</si>
  <si>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</si>
  <si>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</si>
  <si>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</si>
  <si>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</si>
  <si>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</si>
  <si>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</si>
  <si>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</si>
  <si>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</si>
  <si>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</si>
  <si>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</si>
  <si>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</si>
  <si>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</si>
  <si>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</si>
  <si>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</si>
  <si>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</si>
  <si>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</si>
  <si>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</si>
  <si>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</si>
  <si>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</si>
  <si>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</si>
  <si>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</si>
  <si>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</si>
  <si>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</si>
  <si>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</si>
  <si>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</si>
  <si>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</si>
  <si>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</si>
  <si>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</si>
  <si>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</si>
  <si>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</si>
  <si>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</si>
  <si>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</si>
  <si>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</si>
  <si>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</si>
  <si>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</si>
  <si>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</si>
  <si>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</si>
  <si>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</si>
  <si>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</si>
  <si>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</si>
  <si>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</si>
  <si>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</si>
  <si>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</si>
  <si>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</si>
  <si>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</si>
  <si>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</si>
  <si>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</si>
  <si>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</si>
  <si>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</si>
  <si>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</si>
  <si>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</si>
  <si>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</si>
  <si>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</si>
  <si>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</si>
  <si>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</si>
  <si>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</si>
  <si>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</si>
  <si>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</si>
  <si>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</si>
  <si>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</si>
  <si>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</si>
  <si>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</si>
  <si>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</si>
  <si>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</si>
  <si>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</si>
  <si>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</si>
  <si>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</si>
  <si>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</si>
  <si>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</si>
  <si>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</si>
  <si>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</si>
  <si>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</si>
  <si>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</si>
  <si>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</si>
  <si>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</si>
  <si>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</si>
  <si>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</si>
  <si>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</si>
  <si>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</si>
  <si>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</si>
  <si>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</si>
  <si>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</si>
  <si>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</si>
  <si>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</si>
  <si>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</si>
  <si>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</si>
  <si>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</si>
  <si>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</si>
  <si>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</si>
  <si>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</si>
  <si>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</si>
  <si>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</si>
  <si>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</si>
  <si>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</si>
  <si>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</si>
  <si>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</si>
  <si>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</si>
  <si>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</si>
  <si>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</si>
  <si>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</si>
  <si>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</si>
  <si>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</si>
  <si>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</si>
  <si>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</si>
  <si>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</si>
  <si>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</si>
  <si>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</si>
  <si>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</si>
  <si>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</si>
  <si>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</si>
  <si>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</si>
  <si>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</si>
  <si>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</si>
  <si>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</si>
  <si>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</si>
  <si>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</si>
  <si>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</si>
  <si>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</si>
  <si>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</si>
  <si>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</si>
  <si>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</si>
  <si>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</si>
  <si>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</si>
  <si>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</si>
  <si>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</si>
  <si>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</si>
  <si>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</si>
  <si>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</si>
  <si>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</si>
  <si>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</si>
  <si>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</si>
  <si>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</si>
  <si>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</si>
  <si>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</si>
  <si>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</si>
  <si>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</si>
  <si>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</si>
  <si>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</si>
  <si>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</si>
  <si>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</si>
  <si>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</si>
  <si>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</si>
  <si>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</si>
  <si>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</si>
  <si>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</si>
  <si>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</si>
  <si>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</si>
  <si>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</si>
  <si>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</si>
  <si>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</si>
  <si>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</si>
  <si>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</si>
  <si>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</si>
  <si>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</si>
  <si>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</si>
  <si>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</si>
  <si>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</si>
  <si>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</si>
  <si>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</si>
  <si>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</si>
  <si>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</si>
  <si>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</si>
  <si>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</si>
  <si>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</si>
  <si>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</si>
  <si>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</si>
  <si>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</si>
  <si>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</si>
  <si>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</si>
  <si>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</si>
  <si>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</si>
  <si>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</si>
  <si>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</si>
  <si>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</si>
  <si>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</si>
  <si>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</si>
  <si>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</si>
  <si>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</si>
  <si>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</si>
  <si>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</si>
  <si>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</si>
  <si>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</si>
  <si>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</si>
  <si>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</si>
  <si>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</si>
  <si>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</si>
  <si>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</si>
  <si>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</si>
  <si>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</si>
  <si>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</si>
  <si>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</si>
  <si>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</si>
  <si>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</si>
  <si>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</si>
  <si>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</si>
  <si>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</si>
  <si>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</si>
  <si>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</si>
  <si>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</si>
  <si>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</si>
  <si>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</si>
  <si>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</si>
  <si>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</si>
  <si>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</si>
  <si>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</si>
  <si>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</si>
  <si>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</si>
  <si>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</si>
  <si>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</si>
  <si>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</si>
  <si>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</si>
  <si>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</si>
  <si>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</si>
  <si>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</si>
  <si>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</si>
  <si>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</si>
  <si>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</si>
  <si>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</si>
  <si>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</si>
  <si>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</si>
  <si>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</si>
  <si>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</si>
  <si>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</si>
  <si>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</si>
  <si>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</si>
  <si>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</si>
  <si>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</si>
  <si>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</si>
  <si>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</si>
  <si>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</si>
  <si>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</si>
  <si>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</si>
  <si>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</si>
  <si>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</si>
  <si>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</si>
  <si>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</si>
  <si>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</si>
  <si>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</si>
  <si>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</si>
  <si>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</si>
  <si>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</si>
  <si>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</si>
  <si>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</si>
  <si>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</si>
  <si>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</si>
  <si>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</si>
  <si>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</si>
  <si>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</si>
  <si>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</si>
  <si>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</si>
  <si>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</si>
  <si>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</si>
  <si>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</si>
  <si>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</si>
  <si>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</si>
  <si>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</si>
  <si>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</si>
  <si>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</si>
  <si>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</si>
  <si>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</si>
  <si>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</si>
  <si>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</si>
  <si>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</si>
  <si>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</si>
  <si>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</si>
  <si>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</si>
  <si>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</si>
  <si>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</si>
  <si>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</si>
  <si>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</si>
  <si>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</si>
  <si>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</si>
  <si>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</si>
  <si>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</si>
  <si>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</si>
  <si>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</si>
  <si>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</si>
  <si>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</si>
  <si>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</si>
  <si>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</si>
  <si>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</si>
  <si>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</si>
  <si>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</si>
  <si>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</si>
  <si>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</si>
  <si>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</si>
  <si>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</si>
  <si>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</si>
  <si>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</si>
  <si>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</si>
  <si>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</si>
  <si>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</si>
  <si>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</si>
  <si>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</si>
  <si>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</si>
  <si>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</si>
  <si>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</si>
  <si>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</si>
  <si>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</si>
  <si>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</si>
  <si>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</si>
  <si>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</si>
  <si>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</si>
  <si>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</si>
  <si>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</si>
  <si>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</si>
  <si>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</si>
  <si>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</si>
  <si>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</si>
  <si>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</si>
  <si>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</si>
  <si>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</si>
  <si>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</si>
  <si>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</si>
  <si>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</si>
  <si>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</si>
  <si>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</si>
  <si>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</si>
  <si>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</si>
  <si>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</si>
  <si>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</si>
  <si>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</si>
  <si>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</si>
  <si>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</si>
  <si>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</si>
  <si>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</si>
  <si>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</si>
  <si>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</si>
  <si>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</si>
  <si>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</si>
  <si>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</si>
  <si>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</si>
  <si>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</si>
  <si>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</si>
  <si>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</si>
  <si>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</si>
  <si>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</si>
  <si>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</si>
  <si>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</si>
  <si>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</si>
  <si>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</si>
  <si>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</si>
  <si>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</si>
  <si>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</si>
  <si>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</si>
  <si>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</si>
  <si>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</si>
  <si>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</si>
  <si>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</si>
  <si>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</si>
  <si>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</si>
  <si>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</si>
  <si>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</si>
  <si>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</si>
  <si>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</si>
  <si>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</si>
  <si>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</si>
  <si>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</si>
  <si>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</si>
  <si>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</si>
  <si>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</si>
  <si>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</si>
  <si>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</si>
  <si>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</si>
  <si>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</si>
  <si>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</si>
  <si>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</si>
  <si>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</si>
  <si>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</si>
  <si>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</si>
  <si>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</si>
  <si>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</si>
  <si>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</si>
  <si>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</si>
  <si>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</si>
  <si>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</si>
  <si>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</si>
  <si>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</si>
  <si>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</si>
  <si>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</si>
  <si>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</si>
  <si>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</si>
  <si>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</si>
  <si>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</si>
  <si>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</si>
  <si>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</si>
  <si>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</si>
  <si>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</si>
  <si>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</si>
  <si>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</si>
  <si>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</si>
  <si>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</si>
  <si>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</si>
  <si>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</si>
  <si>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</si>
  <si>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</si>
  <si>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</si>
  <si>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</si>
  <si>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</si>
  <si>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</si>
  <si>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</si>
  <si>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</si>
  <si>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</si>
  <si>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</si>
  <si>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</si>
  <si>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</si>
  <si>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</si>
  <si>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</si>
  <si>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</si>
  <si>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</si>
  <si>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</si>
  <si>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</si>
  <si>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</si>
  <si>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</si>
  <si>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</si>
  <si>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</si>
  <si>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</si>
  <si>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</si>
  <si>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</si>
  <si>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</si>
  <si>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</si>
  <si>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</si>
  <si>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</si>
  <si>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</si>
  <si>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</si>
  <si>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</si>
  <si>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</si>
  <si>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</si>
  <si>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</si>
  <si>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</si>
  <si>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</si>
  <si>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</si>
  <si>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</si>
  <si>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</si>
  <si>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</si>
  <si>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</si>
  <si>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</si>
  <si>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</si>
  <si>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</si>
  <si>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</si>
  <si>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</si>
  <si>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</si>
  <si>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</si>
  <si>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</si>
  <si>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</si>
  <si>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</si>
  <si>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</si>
  <si>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</si>
  <si>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</si>
  <si>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</si>
  <si>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</si>
  <si>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</si>
  <si>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</si>
  <si>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</si>
  <si>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</si>
  <si>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</si>
  <si>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</si>
  <si>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</si>
  <si>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</si>
  <si>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</si>
  <si>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</si>
  <si>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</si>
  <si>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</si>
  <si>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</si>
  <si>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</si>
  <si>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</si>
  <si>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</si>
  <si>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</si>
  <si>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</si>
  <si>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</si>
  <si>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</si>
  <si>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</si>
  <si>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</si>
  <si>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</si>
  <si>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</si>
  <si>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</si>
  <si>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</si>
  <si>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</si>
  <si>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</si>
  <si>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</si>
  <si>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</si>
  <si>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</si>
  <si>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</si>
  <si>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</si>
  <si>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</si>
  <si>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</si>
  <si>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</si>
  <si>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</si>
  <si>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</si>
  <si>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</si>
  <si>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</si>
  <si>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</si>
  <si>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</si>
  <si>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</si>
  <si>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</si>
  <si>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</si>
  <si>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</si>
  <si>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</si>
  <si>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</si>
  <si>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</si>
  <si>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</si>
  <si>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</si>
  <si>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</si>
  <si>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</si>
  <si>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</si>
  <si>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</si>
  <si>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</si>
  <si>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</si>
  <si>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</si>
  <si>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</si>
  <si>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</si>
  <si>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</si>
  <si>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</si>
  <si>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</si>
  <si>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</si>
  <si>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</si>
  <si>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</si>
  <si>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</si>
  <si>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</si>
  <si>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</si>
  <si>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</si>
  <si>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</si>
  <si>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</si>
  <si>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</si>
  <si>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</si>
  <si>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</si>
  <si>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</si>
  <si>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</si>
  <si>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</si>
  <si>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</si>
  <si>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</si>
  <si>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</si>
  <si>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</si>
  <si>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</si>
  <si>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</si>
  <si>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</si>
  <si>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</si>
  <si>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</si>
  <si>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</si>
  <si>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</si>
  <si>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</si>
  <si>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</si>
  <si>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</si>
  <si>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</si>
  <si>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</si>
  <si>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</si>
  <si>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</si>
  <si>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</si>
  <si>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</si>
  <si>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</si>
  <si>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</si>
  <si>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</si>
  <si>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</si>
  <si>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</si>
  <si>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</si>
  <si>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</si>
  <si>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</si>
  <si>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</si>
  <si>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</si>
  <si>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</si>
  <si>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</si>
  <si>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</si>
  <si>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</si>
  <si>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</si>
  <si>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</si>
  <si>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</si>
  <si>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</si>
  <si>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</si>
  <si>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</si>
  <si>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</si>
  <si>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</si>
  <si>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</si>
  <si>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</si>
  <si>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</si>
  <si>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</si>
  <si>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</si>
  <si>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</si>
  <si>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</si>
  <si>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</si>
  <si>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</si>
  <si>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</si>
  <si>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</si>
  <si>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</si>
  <si>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</si>
  <si>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</si>
  <si>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</si>
  <si>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</si>
  <si>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</si>
  <si>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</si>
  <si>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</si>
  <si>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</si>
  <si>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</si>
  <si>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</si>
  <si>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</si>
  <si>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</si>
  <si>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</si>
  <si>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</si>
  <si>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</si>
  <si>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</si>
  <si>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</si>
  <si>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</si>
  <si>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</si>
  <si>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</si>
  <si>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</si>
  <si>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</si>
  <si>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</si>
  <si>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</si>
  <si>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</si>
  <si>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</si>
  <si>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</si>
  <si>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</si>
  <si>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</si>
  <si>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</si>
  <si>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</si>
  <si>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</si>
  <si>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</si>
  <si>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</si>
  <si>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</si>
  <si>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</si>
  <si>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</si>
  <si>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</si>
  <si>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</si>
  <si>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</si>
  <si>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</si>
  <si>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</si>
  <si>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</si>
  <si>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</si>
  <si>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</si>
  <si>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</si>
  <si>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</si>
  <si>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</si>
  <si>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</si>
  <si>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</si>
  <si>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</si>
  <si>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</si>
  <si>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</si>
  <si>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</si>
  <si>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</si>
  <si>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</si>
  <si>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</si>
  <si>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</si>
  <si>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</si>
  <si>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</si>
  <si>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</si>
  <si>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</si>
  <si>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</si>
  <si>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</si>
  <si>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</si>
  <si>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</si>
  <si>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</si>
  <si>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</si>
  <si>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</si>
  <si>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</si>
  <si>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</si>
  <si>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</si>
  <si>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</si>
  <si>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</si>
  <si>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</si>
  <si>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</si>
  <si>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</si>
  <si>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</si>
  <si>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</si>
  <si>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</si>
  <si>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</si>
  <si>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</si>
  <si>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</si>
  <si>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</si>
  <si>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</si>
  <si>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</si>
  <si>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</si>
  <si>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</si>
  <si>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</si>
  <si>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</si>
  <si>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</si>
  <si>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</si>
  <si>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</si>
  <si>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</si>
  <si>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</si>
  <si>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</si>
  <si>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</si>
  <si>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</si>
  <si>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</si>
  <si>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</si>
  <si>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</si>
  <si>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</si>
  <si>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</si>
  <si>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</si>
  <si>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</si>
  <si>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</si>
  <si>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</si>
  <si>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</si>
  <si>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</si>
  <si>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</si>
  <si>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</si>
  <si>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</si>
  <si>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</si>
  <si>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</si>
  <si>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</si>
  <si>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</si>
  <si>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</si>
  <si>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</si>
  <si>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</si>
  <si>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</si>
  <si>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</si>
  <si>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</si>
  <si>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</si>
  <si>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</si>
  <si>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</si>
  <si>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</si>
  <si>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</si>
  <si>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</si>
  <si>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</si>
  <si>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</si>
  <si>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</si>
  <si>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</si>
  <si>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</si>
  <si>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</si>
  <si>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</si>
  <si>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</si>
  <si>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</si>
  <si>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</si>
  <si>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</si>
  <si>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</si>
  <si>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</si>
  <si>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</si>
  <si>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</si>
  <si>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</si>
  <si>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</si>
  <si>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</si>
  <si>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</si>
  <si>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</si>
  <si>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</si>
  <si>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</si>
  <si>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</si>
  <si>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</si>
  <si>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</si>
  <si>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</si>
  <si>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</si>
  <si>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</si>
  <si>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</si>
  <si>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</si>
  <si>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</si>
  <si>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</si>
  <si>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</si>
  <si>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</si>
  <si>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</si>
  <si>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</si>
  <si>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</si>
  <si>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</si>
  <si>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</si>
  <si>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</si>
  <si>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</si>
  <si>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</si>
  <si>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</si>
  <si>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</si>
  <si>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</si>
  <si>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</si>
  <si>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</si>
  <si>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</si>
  <si>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</si>
  <si>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</si>
  <si>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</si>
  <si>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</si>
  <si>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</si>
  <si>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</si>
  <si>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</si>
  <si>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</si>
  <si>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</si>
  <si>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</si>
  <si>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</si>
  <si>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</si>
  <si>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</si>
  <si>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</si>
  <si>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</si>
  <si>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</si>
  <si>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</si>
  <si>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</si>
  <si>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</si>
  <si>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</si>
  <si>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</si>
  <si>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</si>
  <si>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</si>
  <si>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</si>
  <si>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</si>
  <si>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</si>
  <si>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</si>
  <si>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</si>
  <si>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</si>
  <si>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</si>
  <si>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</si>
  <si>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</si>
  <si>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</si>
  <si>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</si>
  <si>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</si>
  <si>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</si>
  <si>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</si>
  <si>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</si>
  <si>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</si>
  <si>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</si>
  <si>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</si>
  <si>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</si>
  <si>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</si>
  <si>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</si>
  <si>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</si>
  <si>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</si>
  <si>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</si>
  <si>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</si>
  <si>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</si>
  <si>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</si>
  <si>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</si>
  <si>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</si>
  <si>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</si>
  <si>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</si>
  <si>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</si>
  <si>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</si>
  <si>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</si>
  <si>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</si>
  <si>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</si>
  <si>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</si>
  <si>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</si>
  <si>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</si>
  <si>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</si>
  <si>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</si>
  <si>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</si>
  <si>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</si>
  <si>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</si>
  <si>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</si>
  <si>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</si>
  <si>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</si>
  <si>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</si>
  <si>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</si>
  <si>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</si>
  <si>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</si>
  <si>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</si>
  <si>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</si>
  <si>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</si>
  <si>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</si>
  <si>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</si>
  <si>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</si>
  <si>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</si>
  <si>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</si>
  <si>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</si>
  <si>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</si>
  <si>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</si>
  <si>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</si>
  <si>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</si>
  <si>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</si>
  <si>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</si>
  <si>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</si>
  <si>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</si>
  <si>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</si>
  <si>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</si>
  <si>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</si>
  <si>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</si>
  <si>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</si>
  <si>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</si>
  <si>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</si>
  <si>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</si>
  <si>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</si>
  <si>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</si>
  <si>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</si>
  <si>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</si>
  <si>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</si>
  <si>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</si>
  <si>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</si>
  <si>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</si>
  <si>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</si>
  <si>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</si>
  <si>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</si>
  <si>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</si>
  <si>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</si>
  <si>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</si>
  <si>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</si>
  <si>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</si>
  <si>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</si>
  <si>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</si>
  <si>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</si>
  <si>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</si>
  <si>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</si>
  <si>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</si>
  <si>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</si>
  <si>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</si>
  <si>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</si>
  <si>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</si>
  <si>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</si>
  <si>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</si>
  <si>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</si>
  <si>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</si>
  <si>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</si>
  <si>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</si>
  <si>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</si>
  <si>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</si>
  <si>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</si>
  <si>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</si>
  <si>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</si>
  <si>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</si>
  <si>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</si>
  <si>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</si>
  <si>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</si>
  <si>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</si>
  <si>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</si>
  <si>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</si>
  <si>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</si>
  <si>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</si>
  <si>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</si>
  <si>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</si>
  <si>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</si>
  <si>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</si>
  <si>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</si>
  <si>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</si>
  <si>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</si>
  <si>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</si>
  <si>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</si>
  <si>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</si>
  <si>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</si>
  <si>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</si>
  <si>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</si>
  <si>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</si>
  <si>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</si>
  <si>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</si>
  <si>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</si>
  <si>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</si>
  <si>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</si>
  <si>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</si>
  <si>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</si>
  <si>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</si>
  <si>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</si>
  <si>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</si>
  <si>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</si>
  <si>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</si>
  <si>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</si>
  <si>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</si>
  <si>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</si>
  <si>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</si>
  <si>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</si>
  <si>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</si>
  <si>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</si>
  <si>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</si>
  <si>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</si>
  <si>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</si>
  <si>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</si>
  <si>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</si>
  <si>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</si>
  <si>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</si>
  <si>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</si>
  <si>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</si>
  <si>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</si>
  <si>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</si>
  <si>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</si>
  <si>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</si>
  <si>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</si>
  <si>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</si>
  <si>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</si>
  <si>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</si>
  <si>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</si>
  <si>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</si>
  <si>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</si>
  <si>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</si>
  <si>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</si>
  <si>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</si>
  <si>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</si>
  <si>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</si>
  <si>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</si>
  <si>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</si>
  <si>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</si>
  <si>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</si>
  <si>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</si>
  <si>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</si>
  <si>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</si>
  <si>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</si>
  <si>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</si>
  <si>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</si>
  <si>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</si>
  <si>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</si>
  <si>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</si>
  <si>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</si>
  <si>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</si>
  <si>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</si>
  <si>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</si>
  <si>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</si>
  <si>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</si>
  <si>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</si>
  <si>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</si>
  <si>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</si>
  <si>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</si>
  <si>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</si>
  <si>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</si>
  <si>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</si>
  <si>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</si>
  <si>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</si>
  <si>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</si>
  <si>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</si>
  <si>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</si>
  <si>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</si>
  <si>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</si>
  <si>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</si>
  <si>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</si>
  <si>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</si>
  <si>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</si>
  <si>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</si>
  <si>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</si>
  <si>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</si>
  <si>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</si>
  <si>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</si>
  <si>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</si>
  <si>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</si>
  <si>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</si>
  <si>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</si>
  <si>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</si>
  <si>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</si>
  <si>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</si>
  <si>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</si>
  <si>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</si>
  <si>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</si>
  <si>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</si>
  <si>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</si>
  <si>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</si>
  <si>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</si>
  <si>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</si>
  <si>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</si>
  <si>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</si>
  <si>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</si>
  <si>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</si>
  <si>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</si>
  <si>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</si>
  <si>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</si>
  <si>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</si>
  <si>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</si>
  <si>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</si>
  <si>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</si>
  <si>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</si>
  <si>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</si>
  <si>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</si>
  <si>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</si>
  <si>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</si>
  <si>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</si>
  <si>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</si>
  <si>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</si>
  <si>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</si>
  <si>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</si>
  <si>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</si>
  <si>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</si>
  <si>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</si>
  <si>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</si>
  <si>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</si>
  <si>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</si>
  <si>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</si>
  <si>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</si>
  <si>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</si>
  <si>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</si>
  <si>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</si>
  <si>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</si>
  <si>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</si>
  <si>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</si>
  <si>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</si>
  <si>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</si>
  <si>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</si>
  <si>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</si>
  <si>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</si>
  <si>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</si>
  <si>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</si>
  <si>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</si>
  <si>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</si>
  <si>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</si>
  <si>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</si>
  <si>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</si>
  <si>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</si>
  <si>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</si>
  <si>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</si>
  <si>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</si>
  <si>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</si>
  <si>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</si>
  <si>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</si>
  <si>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</si>
  <si>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</si>
  <si>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</si>
  <si>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</si>
  <si>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</si>
  <si>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</si>
  <si>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</si>
  <si>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</si>
  <si>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</si>
  <si>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</si>
  <si>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</si>
  <si>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</si>
  <si>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</si>
  <si>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</si>
  <si>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</si>
  <si>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</si>
  <si>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</si>
  <si>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</si>
  <si>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</si>
  <si>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</si>
  <si>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</si>
  <si>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</si>
  <si>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</si>
  <si>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</si>
  <si>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</si>
  <si>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</si>
  <si>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</si>
  <si>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</si>
  <si>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</si>
  <si>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</si>
  <si>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</si>
  <si>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</si>
  <si>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</si>
  <si>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</si>
  <si>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</si>
  <si>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</si>
  <si>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</si>
  <si>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</si>
  <si>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</si>
  <si>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</si>
  <si>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</si>
  <si>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</si>
  <si>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</si>
  <si>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</si>
  <si>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</si>
  <si>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</si>
  <si>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</si>
  <si>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</si>
  <si>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</si>
  <si>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</si>
  <si>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</si>
  <si>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</si>
  <si>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</si>
  <si>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</si>
  <si>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</si>
  <si>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</si>
  <si>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</si>
  <si>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</si>
  <si>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</si>
  <si>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</si>
  <si>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</si>
  <si>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</si>
  <si>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</si>
  <si>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</si>
  <si>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</si>
  <si>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</si>
  <si>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</si>
  <si>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</si>
  <si>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</si>
  <si>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</si>
  <si>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</si>
  <si>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</si>
  <si>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</si>
  <si>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</si>
  <si>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</si>
  <si>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</si>
  <si>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</si>
  <si>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</si>
  <si>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</si>
  <si>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</si>
  <si>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</si>
  <si>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</si>
  <si>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</si>
  <si>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</si>
  <si>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</si>
  <si>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</si>
  <si>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</si>
  <si>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</si>
  <si>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</si>
  <si>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</si>
  <si>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</si>
  <si>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</si>
  <si>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</si>
  <si>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</si>
  <si>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</si>
  <si>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</si>
  <si>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</si>
  <si>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</si>
  <si>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</si>
  <si>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</si>
  <si>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</si>
  <si>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</si>
  <si>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</si>
  <si>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</si>
  <si>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</si>
  <si>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</si>
  <si>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</si>
  <si>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</si>
  <si>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</si>
  <si>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</si>
  <si>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</si>
  <si>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</si>
  <si>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</si>
  <si>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</si>
  <si>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</si>
  <si>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</si>
  <si>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</si>
  <si>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</si>
  <si>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</si>
  <si>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</si>
  <si>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</si>
  <si>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</si>
  <si>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</si>
  <si>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</si>
  <si>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</si>
  <si>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</si>
  <si>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</si>
  <si>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</si>
  <si>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</si>
  <si>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</si>
  <si>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</si>
  <si>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</si>
  <si>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</si>
  <si>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</si>
  <si>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</si>
  <si>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</si>
  <si>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</si>
  <si>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</si>
  <si>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</si>
  <si>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</si>
  <si>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</si>
  <si>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</si>
  <si>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</si>
  <si>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</si>
  <si>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</si>
  <si>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</si>
  <si>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</si>
  <si>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</si>
  <si>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</si>
  <si>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</si>
  <si>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</si>
  <si>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</si>
  <si>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</si>
  <si>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</si>
  <si>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</si>
  <si>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</si>
  <si>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</si>
  <si>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</si>
  <si>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</si>
  <si>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</si>
  <si>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</si>
  <si>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</si>
  <si>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</si>
  <si>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</si>
  <si>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</si>
  <si>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</si>
  <si>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</si>
  <si>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</si>
  <si>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</si>
  <si>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</si>
  <si>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</si>
  <si>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</si>
  <si>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</si>
  <si>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</si>
  <si>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</si>
  <si>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</si>
  <si>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</si>
  <si>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</si>
  <si>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</si>
  <si>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</si>
  <si>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</si>
  <si>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</si>
  <si>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</si>
  <si>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</si>
  <si>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</si>
  <si>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</si>
  <si>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</si>
  <si>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</si>
  <si>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</si>
  <si>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</si>
  <si>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</si>
  <si>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</si>
  <si>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</si>
  <si>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</si>
  <si>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</si>
  <si>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</si>
  <si>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</si>
  <si>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</si>
  <si>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</si>
  <si>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</si>
  <si>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</si>
  <si>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</si>
  <si>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</si>
  <si>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</si>
  <si>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</si>
  <si>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</si>
  <si>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</si>
  <si>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</si>
  <si>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</si>
  <si>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</si>
  <si>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</si>
  <si>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</si>
  <si>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</si>
  <si>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</si>
  <si>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</si>
  <si>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</si>
  <si>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</si>
  <si>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</si>
  <si>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</si>
  <si>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</si>
  <si>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</si>
  <si>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</si>
  <si>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</si>
  <si>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</si>
  <si>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</si>
  <si>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</si>
  <si>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</si>
  <si>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</si>
  <si>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</si>
  <si>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</si>
  <si>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</si>
  <si>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</si>
  <si>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</si>
  <si>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</si>
  <si>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</si>
  <si>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</si>
  <si>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</si>
  <si>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</si>
  <si>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</si>
  <si>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</si>
  <si>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</si>
  <si>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</si>
  <si>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</si>
  <si>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</si>
  <si>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</si>
  <si>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</si>
  <si>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</si>
  <si>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</si>
  <si>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</si>
  <si>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</si>
  <si>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</si>
  <si>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</si>
  <si>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</si>
  <si>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</si>
  <si>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</si>
  <si>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</si>
  <si>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</si>
  <si>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</si>
  <si>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</si>
  <si>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</si>
  <si>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</si>
  <si>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</si>
  <si>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</si>
  <si>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</si>
  <si>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</si>
  <si>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</si>
  <si>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</si>
  <si>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</si>
  <si>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</si>
  <si>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</si>
  <si>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</si>
  <si>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</si>
  <si>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</si>
  <si>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</si>
  <si>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</si>
  <si>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</si>
  <si>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</si>
  <si>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</si>
  <si>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</si>
  <si>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</si>
  <si>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</si>
  <si>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</si>
  <si>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</si>
  <si>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</si>
  <si>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</si>
  <si>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</si>
  <si>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</si>
  <si>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</si>
  <si>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</si>
  <si>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</si>
  <si>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</si>
  <si>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</si>
  <si>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</si>
  <si>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</si>
  <si>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</si>
  <si>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</si>
  <si>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</si>
  <si>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</si>
  <si>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</si>
  <si>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</si>
  <si>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</si>
  <si>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</si>
  <si>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</si>
  <si>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</si>
  <si>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</si>
  <si>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</si>
  <si>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</si>
  <si>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</si>
  <si>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</si>
  <si>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</si>
  <si>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</si>
  <si>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</si>
  <si>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</si>
  <si>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</si>
  <si>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</si>
  <si>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</si>
  <si>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</si>
  <si>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</si>
  <si>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</si>
  <si>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</si>
  <si>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</si>
  <si>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</si>
  <si>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</si>
  <si>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</si>
  <si>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</si>
  <si>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</si>
  <si>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</si>
  <si>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</si>
  <si>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</si>
  <si>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</si>
  <si>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</si>
  <si>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</si>
  <si>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</si>
  <si>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</si>
  <si>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</si>
  <si>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</si>
  <si>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</si>
  <si>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</si>
  <si>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</si>
  <si>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</si>
  <si>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</si>
  <si>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</si>
  <si>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</si>
  <si>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</si>
  <si>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</si>
  <si>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</si>
  <si>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</si>
  <si>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</si>
  <si>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</si>
  <si>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</si>
  <si>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</si>
  <si>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</si>
  <si>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</si>
  <si>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</si>
  <si>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</si>
  <si>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</si>
  <si>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</si>
  <si>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</si>
  <si>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</si>
  <si>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</si>
  <si>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</si>
  <si>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</si>
  <si>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</si>
  <si>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</si>
  <si>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</si>
  <si>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</si>
  <si>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</si>
  <si>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</si>
  <si>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</si>
  <si>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</si>
  <si>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</si>
  <si>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</si>
  <si>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</si>
  <si>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</si>
  <si>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</si>
  <si>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</si>
  <si>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</si>
  <si>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</si>
  <si>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</si>
  <si>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</si>
  <si>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</si>
  <si>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</si>
  <si>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</si>
  <si>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</si>
  <si>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</si>
  <si>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</si>
  <si>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</si>
  <si>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</si>
  <si>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</si>
  <si>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</si>
  <si>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</si>
  <si>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</si>
  <si>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</si>
  <si>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</si>
  <si>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</si>
  <si>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</si>
  <si>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</si>
  <si>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</si>
  <si>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</si>
  <si>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</si>
  <si>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</si>
  <si>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</si>
  <si>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</si>
  <si>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</si>
  <si>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</si>
  <si>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</si>
  <si>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</si>
  <si>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</si>
  <si>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</si>
  <si>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</si>
  <si>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</si>
  <si>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</si>
  <si>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</si>
  <si>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</si>
  <si>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</si>
  <si>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</si>
  <si>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</si>
  <si>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</si>
  <si>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</si>
  <si>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</si>
  <si>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</si>
  <si>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</si>
  <si>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</si>
  <si>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</si>
  <si>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</si>
  <si>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</si>
  <si>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</si>
  <si>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</si>
  <si>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</si>
  <si>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</si>
  <si>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</si>
  <si>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</si>
  <si>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</si>
  <si>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</si>
  <si>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</si>
  <si>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</si>
  <si>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</si>
  <si>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</si>
  <si>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</si>
  <si>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</si>
  <si>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</si>
  <si>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</si>
  <si>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</si>
  <si>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</si>
  <si>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</si>
  <si>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</si>
  <si>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</si>
  <si>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</si>
  <si>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</si>
  <si>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</si>
  <si>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</si>
  <si>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</si>
  <si>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</si>
  <si>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</si>
  <si>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</si>
  <si>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</si>
  <si>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</si>
  <si>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</si>
  <si>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</si>
  <si>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</si>
  <si>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</si>
  <si>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</si>
  <si>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</si>
  <si>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</si>
  <si>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</si>
  <si>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</si>
  <si>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</si>
  <si>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</si>
  <si>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</si>
  <si>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</si>
  <si>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</si>
  <si>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</si>
  <si>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</si>
  <si>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</si>
  <si>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</si>
  <si>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</si>
  <si>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</si>
  <si>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</si>
  <si>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</si>
  <si>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</si>
  <si>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</si>
  <si>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</si>
  <si>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</si>
  <si>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</si>
  <si>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</si>
  <si>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</si>
  <si>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</si>
  <si>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</si>
  <si>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</si>
  <si>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</si>
  <si>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</si>
  <si>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</si>
  <si>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</si>
  <si>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</si>
  <si>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</si>
  <si>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</si>
  <si>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</si>
  <si>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</si>
  <si>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</si>
  <si>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</si>
  <si>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</si>
  <si>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</si>
  <si>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</si>
  <si>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</si>
  <si>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</si>
  <si>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</si>
  <si>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</si>
  <si>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</si>
  <si>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</si>
  <si>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</si>
  <si>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</si>
  <si>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</si>
  <si>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</si>
  <si>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</si>
  <si>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</si>
  <si>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</si>
  <si>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</si>
  <si>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</si>
  <si>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</si>
  <si>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</si>
  <si>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</si>
  <si>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</si>
  <si>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</si>
  <si>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</si>
  <si>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</si>
  <si>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</si>
  <si>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</si>
  <si>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</si>
  <si>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</si>
  <si>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</si>
  <si>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</si>
  <si>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</si>
  <si>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</si>
  <si>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</si>
  <si>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</si>
  <si>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</si>
  <si>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</si>
  <si>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</si>
  <si>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</si>
  <si>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</si>
  <si>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</si>
  <si>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</si>
  <si>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</si>
  <si>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</si>
  <si>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</si>
  <si>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</si>
  <si>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</si>
  <si>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</si>
  <si>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</si>
  <si>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</si>
  <si>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</si>
  <si>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</si>
  <si>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</si>
  <si>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</si>
  <si>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</si>
  <si>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</si>
  <si>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</si>
  <si>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</si>
  <si>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</si>
  <si>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</si>
  <si>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</si>
  <si>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</si>
  <si>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</si>
  <si>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</si>
  <si>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</si>
  <si>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</si>
  <si>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</si>
  <si>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</si>
  <si>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</si>
  <si>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</si>
  <si>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</si>
  <si>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</si>
  <si>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</si>
  <si>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</si>
  <si>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</si>
  <si>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</si>
  <si>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</si>
  <si>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</si>
  <si>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</si>
  <si>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</si>
  <si>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</si>
  <si>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</si>
  <si>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</si>
  <si>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</si>
  <si>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</si>
  <si>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</si>
  <si>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</si>
  <si>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</si>
  <si>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</si>
  <si>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</si>
  <si>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</si>
  <si>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</si>
  <si>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</si>
  <si>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</si>
  <si>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</si>
  <si>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</si>
  <si>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</si>
  <si>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</si>
  <si>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</si>
  <si>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</si>
  <si>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</si>
  <si>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</si>
  <si>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</si>
  <si>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</si>
  <si>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</si>
  <si>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</si>
  <si>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</si>
  <si>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</si>
  <si>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</si>
  <si>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</si>
  <si>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</si>
  <si>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</si>
  <si>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</si>
  <si>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</si>
  <si>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</si>
  <si>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</si>
  <si>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</si>
  <si>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</si>
  <si>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</si>
  <si>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</si>
  <si>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</si>
  <si>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</si>
  <si>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</si>
  <si>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</si>
  <si>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</si>
  <si>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</si>
  <si>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</si>
  <si>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</si>
  <si>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</si>
  <si>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</si>
  <si>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</si>
  <si>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</si>
  <si>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</si>
  <si>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</si>
  <si>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</si>
  <si>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</si>
  <si>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</si>
  <si>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</si>
  <si>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</si>
  <si>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</si>
  <si>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</si>
  <si>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</si>
  <si>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</si>
  <si>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</si>
  <si>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</si>
  <si>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</si>
  <si>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</si>
  <si>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</si>
  <si>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</si>
  <si>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</si>
  <si>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</si>
  <si>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</si>
  <si>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</si>
  <si>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</si>
  <si>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</si>
  <si>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</si>
  <si>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</si>
  <si>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</si>
  <si>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</si>
  <si>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</si>
  <si>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</si>
  <si>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</si>
  <si>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</si>
  <si>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</si>
  <si>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</si>
  <si>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</si>
  <si>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</si>
  <si>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</si>
  <si>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</si>
  <si>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</si>
  <si>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</si>
  <si>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</si>
  <si>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</si>
  <si>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</si>
  <si>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</si>
  <si>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</si>
  <si>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</si>
  <si>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</si>
  <si>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</si>
  <si>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</si>
  <si>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</si>
  <si>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</si>
  <si>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</si>
  <si>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</si>
  <si>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</si>
  <si>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</si>
  <si>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</si>
  <si>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</si>
  <si>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</si>
  <si>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</si>
  <si>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</si>
  <si>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</si>
  <si>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</si>
  <si>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</si>
  <si>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</si>
  <si>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</si>
  <si>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</si>
  <si>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</si>
  <si>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</si>
  <si>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</si>
  <si>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</si>
  <si>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</si>
  <si>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</si>
  <si>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</si>
  <si>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</si>
  <si>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</si>
  <si>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</si>
  <si>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</si>
  <si>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</si>
  <si>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</si>
  <si>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</si>
  <si>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</si>
  <si>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</si>
  <si>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</si>
  <si>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</si>
  <si>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</si>
  <si>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</si>
  <si>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</si>
  <si>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</si>
  <si>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</si>
  <si>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</si>
  <si>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</si>
  <si>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</si>
  <si>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</si>
  <si>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</si>
  <si>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</si>
  <si>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</si>
  <si>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</si>
  <si>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</si>
  <si>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</si>
  <si>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</si>
  <si>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</si>
  <si>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</si>
  <si>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</si>
  <si>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</si>
  <si>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</si>
  <si>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</si>
  <si>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</si>
  <si>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</si>
  <si>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</si>
  <si>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</si>
  <si>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</si>
  <si>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</si>
  <si>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</si>
  <si>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</si>
  <si>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</si>
  <si>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</si>
  <si>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</si>
  <si>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</si>
  <si>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</si>
  <si>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</si>
  <si>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</si>
  <si>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</si>
  <si>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</si>
  <si>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</si>
  <si>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</si>
  <si>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</si>
  <si>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</si>
  <si>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</si>
  <si>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</si>
  <si>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</si>
  <si>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</si>
  <si>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</si>
  <si>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</si>
  <si>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</si>
  <si>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</si>
  <si>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</si>
  <si>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</si>
  <si>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</si>
  <si>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</si>
  <si>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</si>
  <si>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</si>
  <si>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</si>
  <si>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</si>
  <si>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</si>
  <si>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</si>
  <si>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</si>
  <si>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</si>
  <si>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</si>
  <si>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</si>
  <si>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</si>
  <si>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</si>
  <si>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</si>
  <si>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</si>
  <si>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</si>
  <si>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</si>
  <si>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</si>
  <si>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</si>
  <si>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</si>
  <si>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</si>
  <si>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</si>
  <si>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</si>
  <si>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</si>
  <si>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</si>
  <si>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</si>
  <si>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</si>
  <si>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</si>
  <si>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</si>
  <si>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</si>
  <si>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</si>
  <si>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</si>
  <si>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</si>
  <si>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</si>
  <si>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</si>
  <si>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</si>
  <si>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</si>
  <si>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</si>
  <si>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</si>
  <si>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</si>
  <si>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</si>
  <si>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</si>
  <si>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</si>
  <si>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</si>
  <si>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</si>
  <si>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</si>
  <si>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</si>
  <si>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</si>
  <si>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</si>
  <si>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</si>
  <si>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</si>
  <si>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</si>
  <si>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</si>
  <si>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</si>
  <si>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</si>
  <si>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</si>
  <si>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</si>
  <si>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</si>
  <si>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</si>
  <si>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</si>
  <si>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</si>
  <si>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</si>
  <si>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</si>
  <si>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</si>
  <si>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</si>
  <si>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</si>
  <si>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</si>
  <si>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</si>
  <si>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</si>
  <si>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</si>
  <si>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</si>
  <si>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</si>
  <si>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</si>
  <si>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</si>
  <si>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</si>
  <si>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</si>
  <si>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</si>
  <si>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</si>
  <si>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</si>
  <si>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</si>
  <si>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</si>
  <si>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</si>
  <si>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</si>
  <si>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</si>
  <si>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</si>
  <si>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</si>
  <si>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</si>
  <si>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</si>
  <si>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</si>
  <si>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</si>
  <si>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</si>
  <si>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</si>
  <si>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</si>
  <si>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</si>
  <si>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</si>
  <si>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</si>
  <si>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</si>
  <si>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</si>
  <si>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</si>
  <si>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</si>
  <si>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</si>
  <si>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</si>
  <si>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</si>
  <si>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</si>
  <si>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</si>
  <si>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</si>
  <si>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</si>
  <si>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</si>
  <si>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</si>
  <si>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</si>
  <si>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</si>
  <si>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</si>
  <si>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</si>
  <si>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</si>
  <si>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</si>
  <si>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</si>
  <si>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</si>
  <si>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</si>
  <si>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</si>
  <si>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</si>
  <si>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</si>
  <si>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</si>
  <si>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</si>
  <si>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</si>
  <si>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</si>
  <si>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</si>
  <si>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</si>
  <si>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</si>
  <si>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</si>
  <si>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</si>
  <si>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</si>
  <si>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</si>
  <si>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</si>
  <si>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</si>
  <si>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</si>
  <si>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</si>
  <si>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</si>
  <si>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</si>
  <si>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</si>
  <si>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</si>
  <si>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</si>
  <si>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</si>
  <si>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</si>
  <si>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</si>
  <si>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</si>
  <si>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</si>
  <si>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</si>
  <si>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</si>
  <si>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</si>
  <si>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</si>
  <si>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</si>
  <si>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</si>
  <si>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</si>
  <si>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</si>
  <si>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</si>
  <si>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</si>
  <si>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</si>
  <si>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</si>
  <si>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</si>
  <si>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</si>
  <si>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</si>
  <si>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</si>
  <si>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</si>
  <si>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</si>
  <si>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</si>
  <si>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</si>
  <si>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</si>
  <si>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</si>
  <si>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</si>
  <si>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</si>
  <si>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</si>
  <si>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</si>
  <si>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</si>
  <si>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</si>
  <si>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</si>
  <si>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</si>
  <si>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</si>
  <si>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</si>
  <si>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</si>
  <si>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</si>
  <si>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</si>
  <si>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</si>
  <si>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</si>
  <si>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</si>
  <si>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</si>
  <si>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</si>
  <si>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</si>
  <si>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</si>
  <si>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</si>
  <si>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</si>
  <si>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</si>
  <si>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</si>
  <si>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</si>
  <si>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</si>
  <si>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</si>
  <si>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</si>
  <si>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</si>
  <si>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</si>
  <si>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</si>
  <si>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</si>
  <si>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</si>
  <si>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</si>
  <si>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</si>
  <si>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</si>
  <si>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</si>
  <si>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</si>
  <si>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</si>
  <si>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</si>
  <si>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</si>
  <si>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</si>
  <si>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</si>
  <si>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</si>
  <si>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</si>
  <si>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</si>
  <si>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</si>
  <si>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</si>
  <si>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</si>
  <si>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</si>
  <si>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</si>
  <si>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</si>
  <si>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</si>
  <si>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</si>
  <si>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</si>
  <si>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</si>
  <si>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</si>
  <si>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</si>
  <si>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</si>
  <si>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</si>
  <si>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</si>
  <si>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</si>
  <si>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</si>
  <si>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</si>
  <si>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</si>
  <si>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</si>
  <si>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</si>
  <si>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</si>
  <si>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</si>
  <si>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</si>
  <si>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</si>
  <si>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</si>
  <si>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</si>
  <si>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</si>
  <si>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</si>
  <si>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</si>
  <si>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</si>
  <si>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</si>
  <si>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</si>
  <si>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</si>
  <si>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</si>
  <si>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</si>
  <si>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</si>
  <si>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</si>
  <si>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</si>
  <si>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</si>
  <si>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</si>
  <si>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</si>
  <si>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</si>
  <si>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</si>
  <si>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</si>
  <si>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</si>
  <si>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</si>
  <si>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</si>
  <si>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</si>
  <si>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</si>
  <si>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</si>
  <si>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</si>
  <si>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</si>
  <si>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</si>
  <si>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</si>
  <si>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</si>
  <si>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</si>
  <si>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</si>
  <si>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</si>
  <si>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</si>
  <si>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</si>
  <si>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</si>
  <si>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</si>
  <si>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</si>
  <si>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</si>
  <si>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</si>
  <si>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</si>
  <si>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</si>
  <si>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</si>
  <si>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</si>
  <si>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</si>
  <si>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</si>
  <si>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</si>
  <si>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</si>
  <si>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</si>
  <si>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</si>
  <si>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</si>
  <si>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</si>
  <si>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</si>
  <si>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</si>
  <si>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</si>
  <si>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</si>
  <si>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</si>
  <si>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</si>
  <si>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</si>
  <si>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</si>
  <si>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</si>
  <si>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</si>
  <si>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</si>
  <si>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</si>
  <si>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</si>
  <si>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</si>
  <si>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</si>
  <si>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</si>
  <si>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</si>
  <si>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</si>
  <si>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</si>
  <si>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</si>
  <si>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</si>
  <si>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</si>
  <si>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</si>
  <si>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</si>
  <si>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</si>
  <si>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</si>
  <si>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</si>
  <si>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</si>
  <si>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</si>
  <si>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</si>
  <si>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</si>
  <si>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</si>
  <si>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</si>
  <si>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</si>
  <si>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</si>
  <si>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</si>
  <si>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</si>
  <si>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</si>
  <si>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</si>
  <si>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</si>
  <si>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</si>
  <si>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</si>
  <si>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</si>
  <si>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</si>
  <si>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</si>
  <si>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</si>
  <si>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</si>
  <si>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</si>
  <si>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</si>
  <si>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</si>
  <si>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</si>
  <si>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</si>
  <si>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</si>
  <si>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</si>
  <si>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</si>
  <si>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</si>
  <si>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</si>
  <si>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</si>
  <si>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</si>
  <si>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</si>
  <si>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</si>
  <si>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</si>
  <si>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</si>
  <si>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</si>
  <si>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</si>
  <si>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</si>
  <si>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</si>
  <si>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</si>
  <si>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</si>
  <si>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</si>
  <si>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</si>
  <si>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</si>
  <si>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</si>
  <si>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</si>
  <si>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</si>
  <si>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</si>
  <si>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</si>
  <si>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</si>
  <si>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</si>
  <si>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</si>
  <si>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</si>
  <si>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</si>
  <si>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</si>
  <si>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</si>
  <si>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</si>
  <si>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</si>
  <si>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</si>
  <si>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</si>
  <si>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</si>
  <si>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</si>
  <si>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</si>
  <si>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</si>
  <si>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</si>
  <si>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</si>
  <si>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</si>
  <si>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</si>
  <si>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</si>
  <si>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</si>
  <si>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</si>
  <si>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</si>
  <si>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</si>
  <si>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</si>
  <si>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</si>
  <si>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</si>
  <si>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</si>
  <si>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</si>
  <si>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</si>
  <si>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</si>
  <si>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</si>
  <si>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</si>
  <si>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</si>
  <si>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</si>
  <si>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</si>
  <si>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</si>
  <si>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</si>
  <si>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</si>
  <si>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</si>
  <si>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</si>
  <si>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</si>
  <si>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</si>
  <si>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</si>
  <si>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</si>
  <si>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</si>
  <si>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</si>
  <si>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</si>
  <si>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</si>
  <si>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</si>
  <si>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</si>
  <si>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</si>
  <si>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</si>
  <si>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</si>
  <si>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</si>
  <si>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</si>
  <si>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</si>
  <si>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</si>
  <si>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</si>
  <si>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</si>
  <si>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</si>
  <si>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</si>
  <si>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</si>
  <si>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</si>
  <si>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</si>
  <si>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</si>
  <si>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</si>
  <si>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</si>
  <si>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</si>
  <si>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</si>
  <si>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</si>
  <si>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</si>
  <si>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</si>
  <si>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</si>
  <si>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</si>
  <si>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</si>
  <si>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</si>
  <si>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</si>
  <si>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</si>
  <si>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</si>
  <si>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</si>
  <si>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</si>
  <si>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</si>
  <si>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</si>
  <si>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</si>
  <si>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</si>
  <si>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</si>
  <si>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</si>
  <si>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</si>
  <si>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</si>
  <si>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</si>
  <si>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</si>
  <si>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</si>
  <si>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</si>
  <si>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</si>
  <si>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</si>
  <si>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</si>
  <si>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</si>
  <si>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</si>
  <si>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</si>
  <si>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</si>
  <si>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</si>
  <si>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</si>
  <si>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</si>
  <si>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</si>
  <si>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</si>
  <si>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</si>
  <si>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</si>
  <si>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</si>
  <si>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</si>
  <si>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</si>
  <si>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</si>
  <si>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</si>
  <si>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</si>
  <si>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</si>
  <si>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</si>
  <si>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</si>
  <si>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</si>
  <si>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</si>
  <si>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</si>
  <si>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</si>
  <si>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</si>
  <si>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</si>
  <si>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</si>
  <si>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</si>
  <si>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</si>
  <si>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</si>
  <si>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</si>
  <si>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</si>
  <si>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</si>
  <si>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</si>
  <si>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</si>
  <si>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</si>
  <si>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</si>
  <si>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</si>
  <si>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</si>
  <si>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</si>
  <si>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</si>
  <si>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</si>
  <si>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</si>
  <si>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</si>
  <si>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</si>
  <si>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</si>
  <si>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</si>
  <si>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</si>
  <si>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</si>
  <si>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</si>
  <si>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</si>
  <si>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</si>
  <si>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</si>
  <si>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</si>
  <si>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</si>
  <si>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</si>
  <si>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</si>
  <si>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</si>
  <si>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</si>
  <si>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</si>
  <si>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</si>
  <si>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</si>
  <si>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</si>
  <si>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</si>
  <si>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</si>
  <si>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</si>
  <si>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</si>
  <si>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</si>
  <si>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</si>
  <si>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</si>
  <si>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</si>
  <si>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</si>
  <si>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</si>
  <si>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</si>
  <si>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</si>
  <si>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</si>
  <si>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</si>
  <si>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</si>
  <si>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</si>
  <si>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</si>
  <si>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</si>
  <si>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</si>
  <si>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</si>
  <si>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</si>
  <si>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</si>
  <si>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</si>
  <si>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</si>
  <si>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</si>
  <si>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</si>
  <si>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</si>
  <si>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</si>
  <si>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</si>
  <si>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</si>
  <si>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</si>
  <si>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</si>
  <si>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</si>
  <si>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</si>
  <si>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</si>
  <si>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</si>
  <si>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</si>
  <si>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</si>
  <si>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</si>
  <si>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</si>
  <si>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</si>
  <si>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</si>
  <si>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</si>
  <si>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</si>
  <si>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</si>
  <si>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</si>
  <si>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</si>
  <si>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</si>
  <si>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</si>
  <si>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</si>
  <si>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</si>
  <si>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</si>
  <si>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</si>
  <si>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</si>
  <si>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</si>
  <si>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</si>
  <si>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</si>
  <si>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</si>
  <si>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</si>
  <si>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</si>
  <si>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</si>
  <si>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</si>
  <si>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</si>
  <si>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</si>
  <si>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</si>
  <si>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</si>
  <si>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</si>
  <si>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</si>
  <si>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</si>
  <si>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</si>
  <si>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</si>
  <si>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</si>
  <si>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</si>
  <si>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</si>
  <si>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</si>
  <si>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</si>
  <si>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</si>
  <si>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</si>
  <si>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</si>
  <si>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</si>
  <si>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</si>
  <si>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</si>
  <si>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</si>
  <si>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</si>
  <si>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</si>
  <si>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</si>
  <si>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</si>
  <si>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</si>
  <si>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</si>
  <si>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</si>
  <si>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</si>
  <si>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</si>
  <si>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</si>
  <si>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</si>
  <si>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</si>
  <si>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</si>
  <si>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</si>
  <si>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</si>
  <si>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</si>
  <si>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</si>
  <si>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</si>
  <si>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</si>
  <si>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</si>
  <si>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</si>
  <si>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</si>
  <si>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</si>
  <si>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</si>
  <si>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</si>
  <si>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</si>
  <si>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</si>
  <si>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</si>
  <si>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</si>
  <si>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</si>
  <si>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</si>
  <si>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</si>
  <si>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</si>
  <si>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</si>
  <si>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</si>
  <si>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</si>
  <si>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</si>
  <si>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</si>
  <si>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</si>
  <si>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</si>
  <si>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</si>
  <si>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</si>
  <si>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</si>
  <si>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</si>
  <si>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</si>
  <si>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</si>
  <si>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</si>
  <si>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</si>
  <si>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</si>
  <si>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</si>
  <si>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</si>
  <si>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</si>
  <si>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</si>
  <si>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</si>
  <si>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</si>
  <si>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</si>
  <si>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</si>
  <si>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</si>
  <si>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</si>
  <si>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</si>
  <si>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</si>
  <si>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</si>
  <si>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</si>
  <si>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</si>
  <si>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</si>
  <si>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</si>
  <si>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</si>
  <si>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</si>
  <si>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</si>
  <si>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</si>
  <si>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</si>
  <si>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</si>
  <si>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</si>
  <si>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</si>
  <si>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</si>
  <si>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</si>
  <si>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</si>
  <si>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</si>
  <si>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</si>
  <si>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</si>
  <si>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</si>
  <si>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</si>
  <si>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</si>
  <si>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</si>
  <si>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</si>
  <si>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</si>
  <si>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</si>
  <si>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</si>
  <si>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</si>
  <si>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</si>
  <si>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</si>
  <si>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</si>
  <si>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</si>
  <si>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</si>
  <si>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</si>
  <si>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</si>
  <si>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</si>
  <si>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</si>
  <si>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</si>
  <si>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</si>
  <si>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</si>
  <si>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</si>
  <si>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</si>
  <si>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</si>
  <si>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</si>
  <si>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</si>
  <si>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</si>
  <si>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</si>
  <si>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</si>
  <si>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</si>
  <si>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</si>
  <si>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</si>
  <si>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</si>
  <si>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</si>
  <si>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</si>
  <si>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</si>
  <si>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</si>
  <si>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</si>
  <si>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</si>
  <si>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</si>
  <si>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</si>
  <si>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</si>
  <si>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</si>
  <si>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</si>
  <si>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</si>
  <si>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</si>
  <si>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</si>
  <si>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</si>
  <si>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</si>
  <si>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</si>
  <si>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</si>
  <si>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</si>
  <si>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</si>
  <si>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</si>
  <si>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</si>
  <si>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</si>
  <si>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</si>
  <si>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</si>
  <si>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</si>
  <si>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</si>
  <si>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</si>
  <si>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</si>
  <si>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</si>
  <si>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</si>
  <si>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</si>
  <si>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</si>
  <si>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</si>
  <si>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</si>
  <si>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</si>
  <si>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</si>
  <si>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</si>
  <si>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</si>
  <si>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</si>
  <si>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</si>
  <si>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</si>
  <si>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</si>
  <si>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</si>
  <si>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</si>
  <si>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</si>
  <si>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</si>
  <si>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</si>
  <si>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</si>
  <si>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</si>
  <si>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</si>
  <si>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</si>
  <si>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</si>
  <si>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</si>
  <si>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</si>
  <si>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</si>
  <si>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</si>
  <si>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</si>
  <si>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</si>
  <si>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</si>
  <si>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</si>
  <si>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</si>
  <si>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</si>
  <si>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</si>
  <si>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</si>
  <si>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</si>
  <si>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</si>
  <si>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</si>
  <si>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</si>
  <si>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</si>
  <si>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</si>
  <si>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</si>
  <si>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</si>
  <si>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</si>
  <si>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</si>
  <si>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</si>
  <si>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</si>
  <si>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</si>
  <si>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</si>
  <si>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</si>
  <si>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</si>
  <si>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</si>
  <si>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</si>
  <si>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</si>
  <si>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</si>
  <si>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</si>
  <si>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</si>
  <si>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</si>
  <si>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</si>
  <si>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</si>
  <si>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</si>
  <si>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</si>
  <si>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</si>
  <si>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</si>
  <si>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</si>
  <si>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</si>
  <si>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</si>
  <si>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</si>
  <si>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</si>
  <si>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</si>
  <si>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</si>
  <si>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</si>
  <si>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</si>
  <si>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</si>
  <si>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</si>
  <si>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</si>
  <si>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</si>
  <si>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</si>
  <si>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</si>
  <si>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</si>
  <si>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</si>
  <si>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</si>
  <si>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</si>
  <si>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</si>
  <si>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</si>
  <si>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</si>
  <si>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</si>
  <si>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</si>
  <si>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</si>
  <si>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</si>
  <si>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</si>
  <si>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</si>
  <si>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</si>
  <si>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</si>
  <si>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</si>
  <si>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</si>
  <si>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</si>
  <si>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</si>
  <si>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</si>
  <si>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</si>
  <si>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</si>
  <si>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</si>
  <si>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</si>
  <si>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</si>
  <si>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</si>
  <si>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</si>
  <si>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</si>
  <si>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</si>
  <si>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</si>
  <si>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</si>
  <si>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</si>
  <si>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</si>
  <si>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</si>
  <si>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</si>
  <si>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</si>
  <si>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</si>
  <si>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</si>
  <si>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</si>
  <si>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</si>
  <si>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</si>
  <si>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</si>
  <si>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</si>
  <si>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</si>
  <si>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</si>
  <si>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</si>
  <si>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</si>
  <si>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</si>
  <si>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</si>
  <si>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</si>
  <si>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</si>
  <si>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</si>
  <si>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</si>
  <si>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</si>
  <si>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</si>
  <si>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</si>
  <si>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</si>
  <si>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</si>
  <si>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</si>
  <si>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</si>
  <si>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</si>
  <si>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</si>
  <si>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</si>
  <si>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</si>
  <si>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</si>
  <si>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</si>
  <si>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</si>
  <si>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</si>
  <si>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</si>
  <si>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</si>
  <si>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</si>
  <si>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</si>
  <si>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</si>
  <si>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</si>
  <si>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</si>
  <si>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</si>
  <si>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</si>
  <si>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</si>
  <si>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</si>
  <si>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</si>
  <si>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</si>
  <si>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</si>
  <si>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</si>
  <si>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</si>
  <si>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</si>
  <si>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</si>
  <si>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</si>
  <si>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</si>
  <si>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</si>
  <si>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</si>
  <si>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</si>
  <si>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</si>
  <si>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</si>
  <si>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</si>
  <si>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</si>
  <si>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</si>
  <si>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</si>
  <si>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</si>
  <si>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</si>
  <si>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</si>
  <si>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</si>
  <si>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</si>
  <si>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</si>
  <si>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</si>
  <si>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</si>
  <si>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</si>
  <si>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</si>
  <si>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</si>
  <si>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</si>
  <si>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</si>
  <si>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</si>
  <si>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</si>
  <si>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</si>
  <si>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</si>
  <si>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</si>
  <si>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</si>
  <si>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</si>
  <si>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</si>
  <si>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</si>
  <si>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</si>
  <si>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</si>
  <si>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</si>
  <si>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</si>
  <si>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</si>
  <si>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</si>
  <si>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</si>
  <si>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</si>
  <si>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</si>
  <si>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</si>
  <si>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</si>
  <si>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</si>
  <si>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</si>
  <si>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</si>
  <si>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</si>
  <si>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</si>
  <si>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</si>
  <si>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</si>
  <si>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</si>
  <si>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</si>
  <si>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</si>
  <si>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</si>
  <si>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</si>
  <si>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</si>
  <si>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</si>
  <si>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</si>
  <si>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</si>
  <si>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</si>
  <si>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</si>
  <si>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</si>
  <si>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</si>
  <si>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</si>
  <si>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</si>
  <si>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</si>
  <si>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</si>
  <si>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</si>
  <si>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</si>
  <si>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</si>
  <si>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</si>
  <si>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</si>
  <si>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</si>
  <si>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</si>
  <si>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</si>
  <si>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</si>
  <si>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</si>
  <si>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</si>
  <si>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</si>
  <si>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</si>
  <si>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</si>
  <si>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</si>
  <si>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</si>
  <si>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</si>
  <si>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</si>
  <si>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</si>
  <si>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</si>
  <si>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</si>
  <si>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</si>
  <si>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</si>
  <si>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</si>
  <si>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</si>
  <si>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</si>
  <si>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</si>
  <si>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</si>
  <si>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</si>
  <si>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</si>
  <si>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</si>
  <si>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</si>
  <si>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</si>
  <si>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</si>
  <si>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</si>
  <si>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</si>
  <si>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</si>
  <si>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</si>
  <si>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</si>
  <si>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</si>
  <si>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</si>
  <si>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</si>
  <si>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</si>
  <si>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</si>
  <si>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</si>
  <si>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</si>
  <si>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</si>
  <si>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</si>
  <si>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</si>
  <si>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</si>
  <si>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</si>
  <si>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</si>
  <si>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</si>
  <si>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</si>
  <si>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</si>
  <si>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</si>
  <si>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</si>
  <si>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</si>
  <si>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</si>
  <si>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</si>
  <si>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</si>
  <si>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</si>
  <si>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</si>
  <si>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</si>
  <si>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</si>
  <si>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</si>
  <si>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</si>
  <si>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</si>
  <si>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</si>
  <si>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</si>
  <si>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</si>
  <si>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</si>
  <si>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</si>
  <si>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</si>
  <si>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</si>
  <si>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</si>
  <si>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</si>
  <si>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</si>
  <si>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</si>
  <si>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</si>
  <si>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</si>
  <si>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</si>
  <si>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</si>
  <si>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</si>
  <si>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</si>
  <si>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</si>
  <si>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</si>
  <si>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</si>
  <si>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</si>
  <si>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</si>
  <si>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</si>
  <si>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</si>
  <si>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</si>
  <si>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</si>
  <si>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</si>
  <si>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</si>
  <si>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</si>
  <si>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</si>
  <si>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</si>
  <si>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</si>
  <si>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</si>
  <si>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</si>
  <si>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</si>
  <si>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</si>
  <si>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</si>
  <si>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</si>
  <si>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</si>
  <si>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</si>
  <si>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</si>
  <si>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</si>
  <si>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</si>
  <si>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</si>
  <si>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</si>
  <si>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</si>
  <si>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</si>
  <si>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</si>
  <si>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</si>
  <si>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</si>
  <si>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</si>
  <si>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</si>
  <si>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</si>
  <si>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</si>
  <si>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</si>
  <si>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</si>
  <si>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</si>
  <si>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</si>
  <si>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</si>
  <si>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</si>
  <si>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</si>
  <si>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</si>
  <si>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</si>
  <si>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</si>
  <si>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</si>
  <si>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</si>
  <si>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</si>
  <si>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</si>
  <si>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</si>
  <si>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</si>
  <si>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</si>
  <si>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</si>
  <si>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</si>
  <si>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</si>
  <si>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</si>
  <si>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</si>
  <si>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</si>
  <si>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</si>
  <si>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</si>
  <si>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</si>
  <si>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</si>
  <si>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</si>
  <si>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</si>
  <si>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</si>
  <si>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</si>
  <si>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</si>
  <si>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</si>
  <si>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</si>
  <si>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</si>
  <si>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</si>
  <si>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</si>
  <si>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</si>
  <si>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</si>
  <si>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</si>
  <si>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</si>
  <si>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</si>
  <si>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</si>
  <si>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</si>
  <si>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</si>
  <si>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</si>
  <si>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</si>
  <si>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</si>
  <si>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</si>
  <si>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</si>
  <si>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</si>
  <si>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</si>
  <si>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</si>
  <si>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</si>
  <si>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</si>
  <si>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</si>
  <si>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</si>
  <si>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</si>
  <si>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</si>
  <si>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</si>
  <si>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</si>
  <si>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</si>
  <si>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</si>
  <si>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</si>
  <si>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</si>
  <si>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</si>
  <si>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</si>
  <si>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</si>
  <si>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</si>
  <si>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</si>
  <si>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</si>
  <si>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</si>
  <si>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</si>
  <si>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</si>
  <si>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</si>
  <si>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</si>
  <si>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</si>
  <si>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</si>
  <si>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</si>
  <si>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</si>
  <si>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</si>
  <si>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</si>
  <si>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</si>
  <si>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</si>
  <si>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</si>
  <si>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</si>
  <si>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</si>
  <si>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</si>
  <si>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</si>
  <si>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</si>
  <si>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</si>
  <si>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</si>
  <si>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</si>
  <si>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</si>
  <si>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</si>
  <si>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</si>
  <si>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</si>
  <si>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</si>
  <si>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</si>
  <si>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</si>
  <si>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</si>
  <si>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</si>
  <si>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</si>
  <si>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</si>
  <si>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</si>
  <si>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</si>
  <si>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</si>
  <si>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</si>
  <si>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</si>
  <si>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</si>
  <si>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</si>
  <si>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</si>
  <si>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</si>
  <si>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</si>
  <si>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</si>
  <si>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</si>
  <si>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</si>
  <si>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</si>
  <si>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</si>
  <si>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</si>
  <si>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</si>
  <si>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</si>
  <si>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</si>
  <si>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</si>
  <si>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</si>
  <si>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</si>
  <si>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</si>
  <si>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</si>
  <si>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</si>
  <si>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</si>
  <si>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</si>
  <si>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</si>
  <si>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</si>
  <si>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</si>
  <si>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</si>
  <si>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</si>
  <si>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</si>
  <si>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</si>
  <si>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</si>
  <si>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</si>
  <si>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</si>
  <si>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</si>
  <si>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</si>
  <si>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</si>
  <si>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</si>
  <si>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</si>
  <si>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</si>
  <si>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</si>
  <si>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</si>
  <si>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</si>
  <si>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</si>
  <si>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</si>
  <si>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</si>
  <si>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</si>
  <si>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</si>
  <si>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</si>
  <si>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</si>
  <si>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</si>
  <si>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</si>
  <si>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</si>
  <si>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</si>
  <si>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</si>
  <si>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</si>
  <si>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</si>
  <si>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</si>
  <si>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</si>
  <si>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</si>
  <si>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</si>
  <si>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</si>
  <si>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</si>
  <si>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</si>
  <si>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</si>
  <si>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</si>
  <si>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</si>
  <si>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</si>
  <si>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</si>
  <si>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</si>
  <si>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</si>
  <si>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</si>
  <si>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</si>
  <si>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</si>
  <si>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</si>
  <si>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</si>
  <si>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</si>
  <si>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</si>
  <si>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</si>
  <si>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</si>
  <si>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</si>
  <si>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</si>
  <si>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</si>
  <si>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</si>
  <si>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</si>
  <si>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</si>
  <si>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</si>
  <si>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</si>
  <si>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</si>
  <si>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</si>
  <si>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</si>
  <si>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</si>
  <si>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</si>
  <si>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</si>
  <si>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</si>
  <si>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</si>
  <si>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</si>
  <si>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</si>
  <si>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</si>
  <si>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</si>
  <si>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</si>
  <si>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</si>
  <si>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</si>
  <si>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</si>
  <si>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</si>
  <si>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</si>
  <si>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</si>
  <si>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</si>
  <si>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</si>
  <si>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</si>
  <si>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</si>
  <si>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</si>
  <si>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</si>
  <si>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</si>
  <si>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</si>
  <si>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</si>
  <si>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</si>
  <si>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</si>
  <si>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</si>
  <si>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</si>
  <si>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</si>
  <si>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</si>
  <si>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</si>
  <si>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</si>
  <si>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</si>
  <si>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</si>
  <si>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</si>
  <si>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</si>
  <si>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</si>
  <si>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</si>
  <si>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</si>
  <si>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</si>
  <si>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</si>
  <si>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</si>
  <si>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</si>
  <si>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</si>
  <si>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</si>
  <si>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</si>
  <si>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</si>
  <si>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</si>
  <si>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</si>
  <si>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</si>
  <si>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</si>
  <si>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</si>
  <si>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</si>
  <si>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</si>
  <si>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</si>
  <si>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</si>
  <si>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</si>
  <si>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</si>
  <si>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</si>
  <si>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</si>
  <si>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</si>
  <si>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</si>
  <si>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</si>
  <si>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</si>
  <si>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</si>
  <si>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</si>
  <si>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</si>
  <si>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</si>
  <si>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</si>
  <si>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</si>
  <si>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</si>
  <si>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</si>
  <si>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</si>
  <si>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</si>
  <si>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</si>
  <si>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</si>
  <si>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</si>
  <si>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</si>
  <si>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</si>
  <si>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</si>
  <si>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</si>
  <si>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</si>
  <si>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</si>
  <si>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</si>
  <si>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</si>
  <si>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</si>
  <si>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</si>
  <si>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</si>
  <si>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</si>
  <si>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</si>
  <si>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</si>
  <si>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</si>
  <si>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</si>
  <si>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</si>
  <si>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</si>
  <si>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</si>
  <si>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</si>
  <si>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</si>
  <si>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</si>
  <si>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</si>
  <si>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</si>
  <si>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</si>
  <si>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</si>
  <si>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</si>
  <si>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</si>
  <si>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</si>
  <si>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</si>
  <si>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</si>
  <si>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</si>
  <si>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</si>
  <si>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</si>
  <si>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</si>
  <si>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</si>
  <si>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</si>
  <si>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</si>
  <si>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</si>
  <si>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</si>
  <si>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</si>
  <si>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</si>
  <si>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</si>
  <si>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</si>
  <si>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</si>
  <si>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</si>
  <si>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</si>
  <si>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</si>
  <si>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</si>
  <si>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</si>
  <si>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</si>
  <si>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</si>
  <si>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</si>
  <si>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</si>
  <si>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</si>
  <si>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</si>
  <si>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</si>
  <si>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</si>
  <si>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</si>
  <si>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</si>
  <si>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</si>
  <si>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</si>
  <si>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</si>
  <si>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</si>
  <si>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</si>
  <si>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</si>
  <si>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</si>
  <si>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</si>
  <si>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</si>
  <si>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</si>
  <si>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</si>
  <si>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</si>
  <si>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</si>
  <si>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</si>
  <si>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</si>
  <si>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</si>
  <si>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</si>
  <si>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</si>
  <si>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</si>
  <si>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</si>
  <si>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</si>
  <si>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</si>
  <si>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</si>
  <si>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</si>
  <si>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</si>
  <si>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</si>
  <si>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</si>
  <si>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</si>
  <si>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</si>
  <si>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</si>
  <si>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</si>
  <si>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</si>
  <si>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</si>
  <si>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</si>
  <si>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</si>
  <si>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</si>
  <si>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</si>
  <si>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</si>
  <si>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</si>
  <si>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</si>
  <si>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</si>
  <si>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</si>
  <si>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</si>
  <si>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</si>
  <si>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</si>
  <si>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</si>
  <si>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</si>
  <si>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</si>
  <si>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</si>
  <si>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</si>
  <si>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</si>
  <si>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</si>
  <si>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</si>
  <si>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</si>
  <si>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</si>
  <si>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</si>
  <si>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</si>
  <si>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</si>
  <si>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</si>
  <si>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</si>
  <si>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</si>
  <si>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</si>
  <si>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</si>
  <si>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</si>
  <si>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</si>
  <si>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</si>
  <si>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</si>
  <si>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</si>
  <si>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</si>
  <si>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</si>
  <si>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</si>
  <si>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</si>
  <si>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</si>
  <si>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</si>
  <si>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</si>
  <si>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</si>
  <si>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</si>
  <si>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</si>
  <si>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</si>
  <si>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</si>
  <si>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</si>
  <si>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</si>
  <si>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</si>
  <si>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</si>
  <si>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</si>
  <si>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</si>
  <si>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</si>
  <si>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</si>
  <si>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</si>
  <si>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</si>
  <si>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</si>
  <si>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</si>
  <si>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</si>
  <si>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</si>
  <si>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</si>
  <si>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</si>
  <si>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</si>
  <si>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</si>
  <si>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</si>
  <si>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</si>
  <si>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</si>
  <si>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</si>
  <si>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</si>
  <si>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</si>
  <si>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</si>
  <si>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</si>
  <si>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</si>
  <si>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</si>
  <si>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</si>
  <si>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</si>
  <si>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</si>
  <si>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</si>
  <si>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</si>
  <si>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</si>
  <si>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</si>
  <si>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</si>
  <si>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</si>
  <si>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</si>
  <si>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</si>
  <si>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</si>
  <si>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</si>
  <si>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</si>
  <si>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</si>
  <si>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</si>
  <si>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</si>
  <si>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</si>
  <si>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</si>
  <si>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</si>
  <si>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</si>
  <si>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</si>
  <si>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</si>
  <si>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</si>
  <si>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</si>
  <si>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</si>
  <si>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</si>
  <si>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</si>
  <si>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</si>
  <si>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</si>
  <si>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</si>
  <si>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</si>
  <si>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</si>
  <si>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</si>
  <si>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</si>
  <si>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</si>
  <si>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</si>
  <si>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</si>
  <si>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</si>
  <si>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</si>
  <si>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</si>
  <si>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</si>
  <si>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</si>
  <si>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</si>
  <si>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</si>
  <si>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</si>
  <si>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</si>
  <si>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</si>
  <si>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</si>
  <si>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</si>
  <si>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</si>
  <si>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</si>
  <si>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</si>
  <si>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</si>
  <si>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</si>
  <si>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</si>
  <si>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</si>
  <si>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</si>
  <si>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</si>
  <si>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</si>
  <si>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</si>
  <si>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</si>
  <si>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</si>
  <si>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</si>
  <si>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</si>
  <si>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</si>
  <si>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</si>
  <si>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</si>
  <si>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</si>
  <si>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</si>
  <si>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</si>
  <si>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</si>
  <si>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</si>
  <si>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</si>
  <si>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</si>
  <si>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</si>
  <si>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</si>
  <si>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</si>
  <si>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</si>
  <si>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</si>
  <si>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</si>
  <si>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</si>
  <si>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</si>
  <si>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</si>
  <si>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</si>
  <si>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</si>
  <si>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</si>
  <si>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</si>
  <si>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</si>
  <si>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</si>
  <si>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</si>
  <si>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</si>
  <si>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</si>
  <si>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</si>
  <si>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</si>
  <si>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</si>
  <si>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</si>
  <si>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</si>
  <si>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</si>
  <si>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</si>
  <si>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</si>
  <si>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</si>
  <si>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</si>
  <si>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</si>
  <si>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</si>
  <si>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</si>
  <si>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</si>
  <si>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</si>
  <si>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</si>
  <si>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</si>
  <si>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</si>
  <si>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</si>
  <si>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</si>
  <si>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</si>
  <si>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</si>
  <si>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</si>
  <si>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</si>
  <si>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</si>
  <si>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</si>
  <si>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</si>
  <si>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</si>
  <si>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</si>
  <si>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</si>
  <si>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</si>
  <si>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</si>
  <si>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</si>
  <si>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</si>
  <si>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</si>
  <si>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</si>
  <si>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</si>
  <si>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</si>
  <si>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</si>
  <si>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</si>
  <si>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</si>
  <si>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</si>
  <si>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</si>
  <si>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</si>
  <si>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</si>
  <si>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</si>
  <si>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</si>
  <si>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</si>
  <si>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</si>
  <si>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</si>
  <si>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</si>
  <si>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</si>
  <si>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</si>
  <si>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</si>
  <si>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</si>
  <si>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</si>
  <si>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</si>
  <si>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</si>
  <si>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</si>
  <si>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</si>
  <si>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</si>
  <si>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</si>
  <si>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</si>
  <si>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</si>
  <si>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</si>
  <si>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</si>
  <si>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</si>
  <si>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</si>
  <si>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</si>
  <si>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</si>
  <si>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</si>
  <si>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</si>
  <si>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</si>
  <si>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</si>
  <si>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</si>
  <si>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</si>
  <si>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</si>
  <si>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</si>
  <si>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</si>
  <si>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</si>
  <si>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</si>
  <si>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</si>
  <si>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</si>
  <si>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</si>
  <si>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</si>
  <si>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</si>
  <si>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</si>
  <si>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</si>
  <si>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</si>
  <si>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</si>
  <si>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</si>
  <si>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</si>
  <si>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</si>
  <si>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</si>
  <si>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</si>
  <si>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</si>
  <si>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</si>
  <si>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</si>
  <si>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</si>
  <si>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</si>
  <si>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</si>
  <si>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</si>
  <si>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</si>
  <si>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</si>
  <si>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</si>
  <si>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</si>
  <si>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</si>
  <si>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</si>
  <si>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</si>
  <si>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</si>
  <si>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</si>
  <si>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</si>
  <si>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</si>
  <si>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</si>
  <si>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</si>
  <si>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</si>
  <si>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</si>
  <si>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</si>
  <si>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</si>
  <si>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</si>
  <si>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</si>
  <si>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</si>
  <si>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</si>
  <si>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</si>
  <si>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</si>
  <si>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</si>
  <si>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</si>
  <si>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</si>
  <si>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</si>
  <si>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</si>
  <si>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</si>
  <si>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</si>
  <si>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</si>
  <si>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</si>
  <si>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</si>
  <si>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</si>
  <si>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</si>
  <si>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</si>
  <si>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</si>
  <si>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</si>
  <si>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</si>
  <si>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</si>
  <si>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</si>
  <si>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</si>
  <si>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</si>
  <si>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</si>
  <si>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</si>
  <si>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</si>
  <si>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</si>
  <si>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</si>
  <si>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</si>
  <si>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</si>
  <si>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</si>
  <si>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</si>
  <si>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</si>
  <si>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</si>
  <si>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</si>
  <si>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</si>
  <si>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</si>
  <si>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</si>
  <si>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</si>
  <si>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</si>
  <si>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</si>
  <si>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</si>
  <si>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</si>
  <si>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</si>
  <si>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</si>
  <si>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</si>
  <si>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</si>
  <si>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</si>
  <si>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</si>
  <si>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</si>
  <si>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</si>
  <si>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</si>
  <si>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</si>
  <si>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</si>
  <si>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</si>
  <si>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</si>
  <si>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</si>
  <si>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</si>
  <si>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</si>
  <si>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</si>
  <si>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</si>
  <si>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</si>
  <si>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</si>
  <si>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</si>
  <si>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</si>
  <si>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</si>
  <si>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</si>
  <si>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</si>
  <si>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</si>
  <si>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</si>
  <si>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</si>
  <si>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</si>
  <si>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</si>
  <si>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</si>
  <si>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</si>
  <si>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</si>
  <si>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</si>
  <si>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</si>
  <si>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</si>
  <si>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</si>
  <si>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</si>
  <si>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</si>
  <si>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</si>
  <si>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</si>
  <si>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</si>
  <si>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</si>
  <si>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</si>
  <si>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</si>
  <si>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</si>
  <si>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</si>
  <si>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</si>
  <si>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</si>
  <si>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</si>
  <si>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</si>
  <si>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</si>
  <si>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</si>
  <si>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</si>
  <si>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</si>
  <si>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</si>
  <si>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</si>
  <si>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</si>
  <si>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</si>
  <si>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</si>
  <si>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</si>
  <si>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</si>
  <si>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</si>
  <si>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</si>
  <si>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</si>
  <si>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</si>
  <si>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</si>
  <si>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</si>
  <si>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</si>
  <si>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</si>
  <si>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</si>
  <si>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</si>
  <si>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</si>
  <si>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</si>
  <si>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</si>
  <si>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</si>
  <si>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</si>
  <si>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</si>
  <si>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</si>
  <si>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</si>
  <si>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</si>
  <si>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</si>
  <si>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</si>
  <si>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</si>
  <si>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</si>
  <si>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</si>
  <si>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</si>
  <si>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</si>
  <si>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</si>
  <si>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</si>
  <si>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</si>
  <si>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</si>
  <si>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</si>
  <si>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</si>
  <si>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</si>
  <si>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</si>
  <si>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</si>
  <si>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</si>
  <si>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</si>
  <si>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</si>
  <si>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</si>
  <si>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</si>
  <si>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</si>
  <si>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</si>
  <si>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</si>
  <si>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</si>
  <si>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</si>
  <si>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</si>
  <si>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</si>
  <si>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</si>
  <si>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</si>
  <si>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</si>
  <si>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</si>
  <si>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</si>
  <si>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</si>
  <si>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</si>
  <si>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</si>
  <si>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</si>
  <si>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</si>
  <si>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</si>
  <si>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</si>
  <si>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</si>
  <si>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</si>
  <si>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</si>
  <si>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</si>
  <si>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</si>
  <si>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</si>
  <si>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</si>
  <si>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</si>
  <si>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</si>
  <si>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</si>
  <si>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</si>
  <si>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</si>
  <si>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</si>
  <si>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</si>
  <si>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</si>
  <si>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</si>
  <si>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</si>
  <si>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</si>
  <si>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</si>
  <si>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</si>
  <si>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</si>
  <si>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</si>
  <si>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</si>
  <si>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</si>
  <si>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</si>
  <si>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</si>
  <si>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</si>
  <si>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</si>
  <si>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</si>
  <si>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</si>
  <si>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</si>
  <si>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</si>
  <si>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</si>
  <si>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</si>
  <si>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</si>
  <si>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</si>
  <si>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</si>
  <si>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</si>
  <si>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</si>
  <si>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</si>
  <si>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</si>
  <si>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</si>
  <si>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</si>
  <si>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</si>
  <si>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</si>
  <si>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</si>
  <si>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</si>
  <si>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</si>
  <si>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</si>
  <si>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</si>
  <si>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</si>
  <si>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</si>
  <si>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</si>
  <si>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</si>
  <si>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</si>
  <si>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</si>
  <si>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</si>
  <si>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</si>
  <si>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</si>
  <si>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</si>
  <si>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</si>
  <si>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</si>
  <si>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</si>
  <si>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</si>
  <si>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</si>
  <si>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</si>
  <si>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</si>
  <si>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</si>
  <si>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</si>
  <si>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</si>
  <si>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</si>
  <si>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</si>
  <si>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</si>
  <si>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</si>
  <si>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</si>
  <si>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</si>
  <si>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</si>
  <si>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</si>
  <si>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</si>
  <si>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</si>
  <si>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</si>
  <si>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</si>
  <si>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</si>
  <si>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</si>
  <si>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</si>
  <si>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</si>
  <si>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</si>
  <si>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</si>
  <si>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</si>
  <si>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</si>
  <si>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</si>
  <si>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</si>
  <si>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</si>
  <si>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</si>
  <si>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</si>
  <si>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</si>
  <si>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</si>
  <si>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</si>
  <si>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</si>
  <si>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</si>
  <si>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</si>
  <si>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</si>
  <si>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</si>
  <si>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</si>
  <si>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</si>
  <si>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</si>
  <si>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</si>
  <si>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</si>
  <si>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</si>
  <si>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</si>
  <si>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</si>
  <si>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</si>
  <si>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</si>
  <si>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</si>
  <si>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</si>
  <si>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</si>
  <si>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</si>
  <si>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</si>
  <si>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</si>
  <si>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</si>
  <si>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</si>
  <si>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</si>
  <si>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</si>
  <si>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</si>
  <si>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</si>
  <si>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</si>
  <si>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</si>
  <si>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</si>
  <si>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</si>
  <si>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</si>
  <si>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</si>
  <si>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</si>
  <si>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</si>
  <si>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</si>
  <si>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</si>
  <si>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</si>
  <si>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</si>
  <si>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</si>
  <si>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</si>
  <si>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</si>
  <si>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</si>
  <si>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</si>
  <si>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</si>
  <si>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</si>
  <si>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</si>
  <si>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</si>
  <si>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</si>
  <si>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</si>
  <si>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</si>
  <si>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</si>
  <si>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</si>
  <si>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</si>
  <si>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</si>
  <si>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</si>
  <si>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</si>
  <si>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</si>
  <si>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</si>
  <si>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</si>
  <si>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</si>
  <si>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</si>
  <si>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</si>
  <si>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</si>
  <si>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</si>
  <si>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</si>
  <si>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</si>
  <si>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</si>
  <si>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</si>
  <si>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</si>
  <si>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</si>
  <si>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</si>
  <si>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</si>
  <si>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</si>
  <si>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</si>
  <si>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</si>
  <si>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</si>
  <si>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</si>
  <si>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</si>
  <si>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</si>
  <si>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</si>
  <si>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</si>
  <si>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</si>
  <si>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</si>
  <si>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</si>
  <si>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</si>
  <si>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</si>
  <si>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</si>
  <si>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</si>
  <si>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</si>
  <si>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</si>
  <si>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</si>
  <si>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</si>
  <si>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</si>
  <si>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</si>
  <si>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</si>
  <si>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</si>
  <si>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</si>
  <si>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</si>
  <si>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</si>
  <si>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</si>
  <si>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</si>
  <si>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</si>
  <si>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</si>
  <si>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</si>
  <si>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</si>
  <si>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</si>
  <si>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</si>
  <si>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</si>
  <si>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</si>
  <si>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</si>
  <si>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</si>
  <si>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</si>
  <si>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</si>
  <si>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</si>
  <si>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</si>
  <si>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</si>
  <si>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</si>
  <si>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</si>
  <si>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</si>
  <si>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</si>
  <si>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</si>
  <si>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</si>
  <si>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</si>
  <si>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</si>
  <si>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</si>
  <si>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</si>
  <si>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</si>
  <si>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</si>
  <si>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</si>
  <si>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</si>
  <si>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</si>
  <si>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</si>
  <si>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</si>
  <si>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</si>
  <si>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</si>
  <si>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</si>
  <si>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</si>
  <si>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</si>
  <si>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</si>
  <si>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</si>
  <si>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</si>
  <si>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</si>
  <si>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</si>
  <si>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</si>
  <si>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</si>
  <si>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</si>
  <si>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</si>
  <si>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</si>
  <si>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</si>
  <si>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</si>
  <si>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</si>
  <si>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</si>
  <si>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</si>
  <si>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</si>
  <si>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</si>
  <si>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</si>
  <si>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</si>
  <si>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</si>
  <si>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</si>
  <si>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</si>
  <si>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</si>
  <si>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</si>
  <si>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</si>
  <si>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</si>
  <si>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</si>
  <si>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</si>
  <si>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</si>
  <si>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</si>
  <si>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</si>
  <si>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</si>
  <si>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</si>
  <si>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</si>
  <si>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</si>
  <si>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</si>
  <si>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</si>
  <si>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</si>
  <si>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</si>
  <si>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</si>
  <si>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</si>
  <si>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</si>
  <si>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</si>
  <si>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</si>
  <si>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</si>
  <si>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</si>
  <si>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</si>
  <si>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</si>
  <si>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</si>
  <si>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</si>
  <si>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</si>
  <si>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</si>
  <si>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</si>
  <si>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</si>
  <si>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</si>
  <si>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</si>
  <si>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</si>
  <si>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</si>
  <si>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</si>
  <si>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</si>
  <si>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</si>
  <si>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</si>
  <si>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</si>
  <si>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</si>
  <si>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</si>
  <si>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</si>
  <si>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</si>
  <si>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</si>
  <si>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</si>
  <si>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</si>
  <si>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</si>
  <si>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</si>
  <si>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</si>
  <si>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</si>
  <si>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</si>
  <si>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</si>
  <si>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</si>
  <si>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</si>
  <si>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</si>
  <si>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</si>
  <si>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</si>
  <si>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</si>
  <si>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</si>
  <si>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</si>
  <si>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</si>
  <si>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</si>
  <si>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</si>
  <si>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</si>
  <si>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</si>
  <si>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</si>
  <si>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</si>
  <si>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</si>
  <si>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</si>
  <si>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</si>
  <si>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</si>
  <si>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</si>
  <si>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</si>
  <si>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</si>
  <si>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</si>
  <si>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</si>
  <si>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</si>
  <si>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</si>
  <si>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</si>
  <si>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</si>
  <si>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</si>
  <si>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</si>
  <si>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</si>
  <si>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</si>
  <si>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</si>
  <si>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</si>
  <si>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</si>
  <si>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</si>
  <si>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</si>
  <si>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</si>
  <si>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</si>
  <si>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</si>
  <si>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</si>
  <si>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</si>
  <si>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</si>
  <si>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</si>
  <si>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</si>
  <si>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</si>
  <si>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</si>
  <si>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</si>
  <si>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</si>
  <si>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</si>
  <si>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</si>
  <si>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</si>
  <si>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</si>
  <si>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</si>
  <si>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</si>
  <si>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</si>
  <si>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</si>
  <si>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</si>
  <si>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</si>
  <si>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</si>
  <si>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</si>
  <si>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</si>
  <si>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</si>
  <si>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</si>
  <si>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</si>
  <si>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</si>
  <si>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</si>
  <si>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</si>
  <si>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</si>
  <si>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</si>
  <si>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</si>
  <si>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</si>
  <si>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</si>
  <si>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</si>
  <si>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</si>
  <si>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</si>
  <si>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</si>
  <si>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</si>
  <si>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</si>
  <si>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</si>
  <si>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</si>
  <si>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</si>
  <si>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</si>
  <si>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</si>
  <si>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</si>
  <si>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</si>
  <si>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</si>
  <si>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</si>
  <si>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</si>
  <si>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</si>
  <si>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</si>
  <si>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</si>
  <si>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</si>
  <si>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</si>
  <si>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</si>
  <si>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</si>
  <si>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</si>
  <si>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</si>
  <si>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</si>
  <si>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</si>
  <si>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</si>
  <si>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</si>
  <si>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</si>
  <si>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</si>
  <si>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</si>
  <si>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</si>
  <si>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</si>
  <si>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</si>
  <si>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</si>
  <si>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</si>
  <si>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</si>
  <si>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</si>
  <si>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</si>
  <si>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</si>
  <si>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</si>
  <si>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</si>
  <si>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</si>
  <si>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</si>
  <si>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</si>
  <si>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</si>
  <si>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</si>
  <si>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</si>
  <si>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</si>
  <si>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</si>
  <si>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</si>
  <si>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</si>
  <si>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</si>
  <si>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</si>
  <si>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</si>
  <si>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</si>
  <si>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</si>
  <si>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</si>
  <si>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</si>
  <si>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</si>
  <si>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</si>
  <si>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</si>
  <si>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</si>
  <si>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</si>
  <si>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</si>
  <si>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</si>
  <si>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</si>
  <si>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</si>
  <si>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</si>
  <si>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</si>
  <si>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</si>
  <si>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</si>
  <si>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</si>
  <si>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</si>
  <si>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</si>
  <si>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</si>
  <si>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</si>
  <si>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</si>
  <si>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</si>
  <si>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</si>
  <si>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</si>
  <si>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</si>
  <si>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</si>
  <si>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</si>
  <si>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</si>
  <si>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</si>
  <si>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</si>
  <si>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</si>
  <si>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</si>
  <si>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</si>
  <si>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</si>
  <si>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</si>
  <si>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</si>
  <si>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</si>
  <si>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</si>
  <si>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</si>
  <si>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</si>
  <si>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</si>
  <si>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</si>
  <si>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</si>
  <si>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</si>
  <si>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</si>
  <si>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</si>
  <si>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</si>
  <si>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</si>
  <si>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</si>
  <si>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</si>
  <si>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</si>
  <si>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</si>
  <si>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</si>
  <si>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</si>
  <si>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</si>
  <si>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</si>
  <si>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</si>
  <si>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</si>
  <si>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</si>
  <si>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</si>
  <si>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</si>
  <si>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</si>
  <si>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</si>
  <si>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</si>
  <si>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</si>
  <si>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</si>
  <si>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</si>
  <si>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</si>
  <si>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</si>
  <si>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</si>
  <si>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</si>
  <si>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</si>
  <si>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</si>
  <si>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</si>
  <si>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</si>
  <si>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</si>
  <si>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</si>
  <si>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</si>
  <si>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</si>
  <si>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</si>
  <si>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</si>
  <si>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</si>
  <si>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</si>
  <si>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</si>
  <si>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</si>
  <si>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</si>
  <si>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</si>
  <si>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</si>
  <si>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</si>
  <si>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</si>
  <si>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</si>
  <si>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</si>
  <si>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</si>
  <si>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</si>
  <si>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</si>
  <si>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</si>
  <si>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</si>
  <si>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</si>
  <si>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</si>
  <si>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</si>
  <si>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</si>
  <si>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</si>
  <si>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</si>
  <si>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</si>
  <si>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</si>
  <si>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</si>
  <si>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</si>
  <si>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</si>
  <si>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</si>
  <si>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</si>
  <si>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</si>
  <si>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</si>
  <si>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</si>
  <si>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</si>
  <si>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</si>
  <si>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</si>
  <si>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</si>
  <si>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</si>
  <si>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</si>
  <si>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</si>
  <si>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</si>
  <si>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</si>
  <si>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</si>
  <si>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</si>
  <si>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</si>
  <si>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</si>
  <si>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</si>
  <si>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</si>
  <si>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</si>
  <si>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</si>
  <si>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</si>
  <si>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</si>
  <si>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</si>
  <si>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</si>
  <si>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</si>
  <si>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</si>
  <si>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</si>
  <si>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</si>
  <si>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</si>
  <si>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</si>
  <si>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</si>
  <si>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</si>
  <si>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</si>
  <si>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</si>
  <si>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</si>
  <si>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</si>
  <si>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</si>
  <si>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</si>
  <si>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</si>
  <si>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</si>
  <si>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</si>
  <si>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</si>
  <si>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</si>
  <si>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</si>
  <si>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</si>
  <si>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</si>
  <si>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</si>
  <si>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</si>
  <si>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</si>
  <si>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</si>
  <si>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</si>
  <si>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</si>
  <si>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</si>
  <si>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</si>
  <si>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</si>
  <si>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</si>
  <si>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</si>
  <si>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</si>
  <si>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</si>
  <si>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</si>
  <si>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</si>
  <si>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</si>
  <si>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</si>
  <si>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</si>
  <si>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</si>
  <si>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</si>
  <si>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</si>
  <si>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</si>
  <si>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</si>
  <si>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</si>
  <si>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</si>
  <si>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</si>
  <si>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</si>
  <si>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</si>
  <si>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</si>
  <si>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</si>
  <si>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</si>
  <si>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</si>
  <si>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</si>
  <si>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</si>
  <si>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</si>
  <si>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</si>
  <si>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</si>
  <si>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</si>
  <si>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</si>
  <si>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</si>
  <si>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</si>
  <si>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</si>
  <si>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</si>
  <si>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</si>
  <si>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</si>
  <si>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</si>
  <si>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</si>
  <si>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</si>
  <si>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</si>
  <si>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</si>
  <si>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</si>
  <si>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</si>
  <si>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</si>
  <si>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</si>
  <si>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</si>
  <si>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</si>
  <si>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</si>
  <si>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</si>
  <si>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</si>
  <si>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</si>
  <si>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</si>
  <si>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</si>
  <si>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</si>
  <si>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</si>
  <si>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</si>
  <si>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</si>
  <si>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</si>
  <si>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</si>
  <si>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</si>
  <si>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</si>
  <si>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</si>
  <si>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</si>
  <si>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</si>
  <si>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</si>
  <si>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</si>
  <si>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</si>
  <si>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</si>
  <si>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</si>
  <si>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</si>
  <si>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</si>
  <si>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</si>
  <si>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</si>
  <si>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</si>
  <si>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</si>
  <si>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</si>
  <si>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</si>
  <si>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</si>
  <si>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</si>
  <si>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</si>
  <si>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</si>
  <si>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</si>
  <si>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</si>
  <si>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</si>
  <si>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</si>
  <si>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</si>
  <si>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</si>
  <si>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</si>
  <si>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</si>
  <si>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</si>
  <si>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</si>
  <si>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</si>
  <si>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</si>
  <si>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</si>
  <si>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</si>
  <si>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</si>
  <si>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</si>
  <si>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</si>
  <si>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</si>
  <si>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</si>
  <si>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</si>
  <si>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</si>
  <si>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</si>
  <si>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</si>
  <si>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</si>
  <si>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</si>
  <si>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</si>
  <si>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</si>
  <si>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</si>
  <si>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</si>
  <si>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</si>
  <si>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</si>
  <si>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</si>
  <si>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</si>
  <si>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</si>
  <si>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</si>
  <si>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</si>
  <si>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</si>
  <si>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</si>
  <si>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</si>
  <si>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</si>
  <si>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</si>
  <si>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</si>
  <si>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</si>
  <si>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</si>
  <si>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</si>
  <si>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</si>
  <si>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</si>
  <si>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</si>
  <si>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</si>
  <si>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</si>
  <si>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</si>
  <si>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</si>
  <si>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</si>
  <si>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</si>
  <si>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</si>
  <si>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</si>
  <si>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</si>
  <si>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</si>
  <si>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</si>
  <si>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</si>
  <si>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</si>
  <si>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</si>
  <si>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</si>
  <si>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</si>
  <si>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</si>
  <si>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</si>
  <si>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</si>
  <si>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</si>
  <si>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</si>
  <si>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</si>
  <si>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</si>
  <si>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</si>
  <si>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</si>
  <si>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</si>
  <si>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</si>
  <si>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</si>
  <si>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</si>
  <si>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</si>
  <si>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</si>
  <si>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</si>
  <si>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</si>
  <si>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</si>
  <si>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</si>
  <si>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</si>
  <si>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</si>
  <si>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</si>
  <si>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</si>
  <si>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</si>
  <si>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</si>
  <si>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</si>
  <si>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</si>
  <si>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</si>
  <si>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</si>
  <si>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</si>
  <si>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</si>
  <si>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</si>
  <si>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</si>
  <si>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</si>
  <si>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</si>
  <si>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</si>
  <si>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</si>
  <si>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</si>
  <si>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</si>
  <si>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</si>
  <si>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</si>
  <si>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</si>
  <si>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</si>
  <si>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</si>
  <si>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</si>
  <si>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</si>
  <si>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</si>
  <si>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</si>
  <si>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</si>
  <si>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</si>
  <si>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</si>
  <si>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</si>
  <si>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</si>
  <si>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</si>
  <si>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</si>
  <si>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</si>
  <si>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</si>
  <si>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</si>
  <si>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</si>
  <si>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</si>
  <si>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</si>
  <si>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</si>
  <si>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</si>
  <si>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</si>
  <si>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</si>
  <si>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</si>
  <si>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</si>
  <si>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</si>
  <si>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</si>
  <si>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</si>
  <si>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</si>
  <si>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</si>
  <si>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</si>
  <si>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</si>
  <si>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</si>
  <si>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</si>
  <si>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</si>
  <si>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</si>
  <si>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</si>
  <si>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</si>
  <si>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</si>
  <si>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</si>
  <si>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</si>
  <si>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</si>
  <si>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</si>
  <si>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</si>
  <si>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</si>
  <si>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</si>
  <si>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</si>
  <si>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</si>
  <si>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</si>
  <si>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</si>
  <si>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</si>
  <si>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</si>
  <si>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</si>
  <si>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</si>
  <si>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</si>
  <si>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</si>
  <si>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</si>
  <si>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</si>
  <si>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</si>
  <si>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</si>
  <si>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</si>
  <si>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</si>
  <si>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</si>
  <si>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</si>
  <si>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</si>
  <si>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</si>
  <si>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</si>
  <si>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</si>
  <si>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</si>
  <si>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</si>
  <si>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</si>
  <si>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</si>
  <si>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</si>
  <si>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</si>
  <si>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</si>
  <si>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</si>
  <si>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</si>
  <si>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</si>
  <si>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</si>
  <si>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</si>
  <si>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</si>
  <si>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</si>
  <si>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</si>
  <si>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</si>
  <si>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</si>
  <si>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</si>
  <si>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</si>
  <si>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</si>
  <si>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</si>
  <si>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</si>
  <si>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</si>
  <si>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</si>
  <si>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</si>
  <si>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</si>
  <si>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</si>
  <si>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</si>
  <si>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</si>
  <si>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</si>
  <si>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</si>
  <si>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</si>
  <si>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</si>
  <si>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</si>
  <si>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</si>
  <si>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</si>
  <si>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</si>
  <si>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</si>
  <si>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</si>
  <si>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</si>
  <si>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</si>
  <si>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</si>
  <si>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</si>
  <si>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</si>
  <si>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</si>
  <si>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</si>
  <si>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</si>
  <si>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</si>
  <si>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</si>
  <si>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</si>
  <si>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</si>
  <si>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</si>
  <si>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</si>
  <si>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</si>
  <si>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</si>
  <si>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</si>
  <si>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</si>
  <si>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</si>
  <si>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</si>
  <si>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</si>
  <si>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</si>
  <si>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</si>
  <si>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</si>
  <si>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</si>
  <si>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</si>
  <si>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</si>
  <si>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</si>
  <si>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</si>
  <si>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</si>
  <si>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</si>
  <si>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</si>
  <si>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</si>
  <si>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</si>
  <si>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</si>
  <si>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</si>
  <si>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</si>
  <si>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</si>
  <si>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</si>
  <si>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</si>
  <si>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</si>
  <si>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</si>
  <si>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</si>
  <si>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</si>
  <si>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</si>
  <si>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</si>
  <si>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</si>
  <si>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</si>
  <si>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</si>
  <si>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</si>
  <si>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</si>
  <si>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</si>
  <si>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</si>
  <si>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</si>
  <si>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</si>
  <si>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</si>
  <si>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</si>
  <si>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</si>
  <si>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</si>
  <si>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</si>
  <si>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</si>
  <si>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</si>
  <si>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</si>
  <si>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</si>
  <si>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</si>
  <si>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</si>
  <si>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</si>
  <si>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</si>
  <si>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</si>
  <si>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</si>
  <si>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</si>
  <si>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</si>
  <si>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</si>
  <si>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</si>
  <si>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</si>
  <si>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</si>
  <si>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</si>
  <si>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</si>
  <si>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</si>
  <si>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</si>
  <si>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</si>
  <si>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</si>
  <si>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</si>
  <si>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</si>
  <si>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</si>
  <si>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</si>
  <si>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</si>
  <si>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</si>
  <si>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</si>
  <si>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</si>
  <si>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</si>
  <si>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</si>
  <si>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</si>
  <si>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</si>
  <si>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</si>
  <si>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</si>
  <si>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</si>
  <si>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</si>
  <si>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</si>
  <si>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</si>
  <si>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</si>
  <si>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</si>
  <si>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</si>
  <si>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</si>
  <si>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</si>
  <si>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</si>
  <si>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</si>
  <si>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</si>
  <si>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</si>
  <si>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</si>
  <si>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</si>
  <si>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</si>
  <si>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</si>
  <si>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</si>
  <si>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</si>
  <si>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</si>
  <si>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</si>
  <si>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</si>
  <si>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</si>
  <si>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</si>
  <si>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</si>
  <si>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</si>
  <si>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</si>
  <si>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</si>
  <si>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</si>
  <si>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</si>
  <si>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</si>
  <si>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</si>
  <si>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</si>
  <si>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</si>
  <si>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</si>
  <si>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</si>
  <si>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</si>
  <si>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</si>
  <si>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</si>
  <si>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</si>
  <si>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</si>
  <si>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</si>
  <si>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</si>
  <si>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</si>
  <si>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</si>
  <si>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</si>
  <si>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</si>
  <si>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</si>
  <si>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</si>
  <si>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</si>
  <si>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</si>
  <si>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</si>
  <si>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</si>
  <si>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</si>
  <si>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</si>
  <si>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</si>
  <si>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</si>
  <si>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</si>
  <si>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</si>
  <si>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</si>
  <si>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</si>
  <si>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</si>
  <si>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</si>
  <si>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</si>
  <si>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</si>
  <si>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</si>
  <si>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</si>
  <si>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</si>
  <si>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</si>
  <si>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</si>
  <si>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</si>
  <si>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</si>
  <si>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</si>
  <si>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</si>
  <si>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</si>
  <si>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</si>
  <si>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</si>
  <si>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</si>
  <si>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</si>
  <si>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</si>
  <si>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</si>
  <si>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</si>
  <si>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</si>
  <si>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</si>
  <si>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</si>
  <si>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</si>
  <si>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</si>
  <si>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</si>
  <si>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</si>
  <si>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</si>
  <si>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</si>
  <si>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</si>
  <si>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</si>
  <si>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</si>
  <si>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</si>
  <si>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</si>
  <si>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</si>
  <si>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</si>
  <si>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</si>
  <si>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</si>
  <si>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</si>
  <si>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</si>
  <si>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</si>
  <si>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</si>
  <si>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</si>
  <si>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</si>
  <si>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</si>
  <si>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</si>
  <si>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</si>
  <si>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</si>
  <si>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</si>
  <si>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</si>
  <si>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</si>
  <si>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</si>
  <si>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</si>
  <si>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</si>
  <si>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</si>
  <si>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</si>
  <si>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</si>
  <si>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</si>
  <si>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</si>
  <si>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</si>
  <si>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</si>
  <si>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</si>
  <si>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</si>
  <si>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</si>
  <si>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</si>
  <si>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</si>
  <si>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</si>
  <si>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</si>
  <si>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</si>
  <si>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</si>
  <si>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</si>
  <si>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</si>
  <si>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</si>
  <si>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</si>
  <si>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</si>
  <si>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</si>
  <si>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</si>
  <si>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</si>
  <si>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</si>
  <si>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</si>
  <si>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</si>
  <si>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</si>
  <si>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</si>
  <si>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</si>
  <si>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</si>
  <si>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</si>
  <si>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</si>
  <si>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</si>
  <si>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</si>
  <si>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</si>
  <si>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</si>
  <si>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</si>
  <si>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</si>
  <si>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</si>
  <si>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</si>
  <si>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</si>
  <si>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</si>
  <si>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</si>
  <si>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</si>
  <si>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</si>
  <si>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</si>
  <si>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</si>
  <si>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</si>
  <si>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</si>
  <si>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</si>
  <si>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</si>
  <si>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</si>
  <si>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</si>
  <si>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</si>
  <si>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</si>
  <si>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</si>
  <si>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</si>
  <si>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</si>
  <si>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</si>
  <si>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</si>
  <si>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</si>
  <si>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</si>
  <si>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</si>
  <si>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</si>
  <si>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</si>
  <si>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</si>
  <si>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</si>
  <si>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</si>
  <si>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</si>
  <si>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</si>
  <si>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</si>
  <si>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</si>
  <si>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</si>
  <si>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</si>
  <si>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</si>
  <si>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</si>
  <si>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</si>
  <si>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</si>
  <si>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</si>
  <si>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</si>
  <si>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</si>
  <si>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</si>
  <si>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</si>
  <si>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</si>
  <si>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</si>
  <si>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</si>
  <si>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</si>
  <si>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</si>
  <si>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</si>
  <si>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</si>
  <si>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</si>
  <si>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</si>
  <si>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</si>
  <si>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</si>
  <si>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</si>
  <si>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</si>
  <si>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</si>
  <si>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</si>
  <si>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</si>
  <si>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</si>
  <si>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</si>
  <si>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</si>
  <si>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</si>
  <si>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</si>
  <si>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</si>
  <si>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</si>
  <si>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</si>
  <si>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</si>
  <si>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</si>
  <si>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</si>
  <si>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</si>
  <si>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</si>
  <si>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</si>
  <si>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</si>
  <si>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</si>
  <si>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</si>
  <si>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</si>
  <si>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</si>
  <si>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</si>
  <si>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</si>
  <si>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</si>
  <si>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</si>
  <si>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</si>
  <si>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</si>
  <si>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</si>
  <si>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</si>
  <si>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</si>
  <si>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</si>
  <si>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</si>
  <si>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</si>
  <si>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</si>
  <si>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</si>
  <si>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</si>
  <si>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</si>
  <si>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</si>
  <si>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</si>
  <si>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</si>
  <si>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</si>
  <si>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</si>
  <si>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</si>
  <si>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</si>
  <si>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</si>
  <si>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</si>
  <si>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</si>
  <si>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</si>
  <si>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</si>
  <si>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</si>
  <si>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</si>
  <si>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</si>
  <si>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</si>
  <si>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</si>
  <si>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</si>
  <si>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</si>
  <si>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</si>
  <si>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</si>
  <si>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</si>
  <si>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</si>
  <si>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</si>
  <si>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</si>
  <si>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</si>
  <si>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</si>
  <si>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</si>
  <si>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</si>
  <si>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</si>
  <si>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</si>
  <si>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</si>
  <si>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</si>
  <si>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</si>
  <si>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</si>
  <si>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</si>
  <si>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</si>
  <si>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</si>
  <si>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</si>
  <si>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</si>
  <si>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</si>
  <si>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</si>
  <si>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</si>
  <si>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</si>
  <si>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</si>
  <si>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</si>
  <si>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</si>
  <si>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</si>
  <si>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</si>
  <si>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</si>
  <si>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</si>
  <si>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</si>
  <si>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</si>
  <si>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</si>
  <si>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</si>
  <si>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</si>
  <si>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</si>
  <si>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</si>
  <si>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</si>
  <si>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</si>
  <si>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</si>
  <si>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</si>
  <si>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</si>
  <si>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</si>
  <si>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</si>
  <si>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</si>
  <si>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</si>
  <si>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</si>
  <si>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</si>
  <si>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</si>
  <si>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</si>
  <si>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</si>
  <si>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</si>
  <si>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</si>
  <si>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</si>
  <si>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</si>
  <si>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</si>
  <si>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</si>
  <si>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</si>
  <si>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</si>
  <si>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</si>
  <si>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</si>
  <si>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</si>
  <si>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</si>
  <si>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</si>
  <si>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</si>
  <si>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</si>
  <si>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</si>
  <si>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</si>
  <si>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</si>
  <si>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</si>
  <si>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</si>
  <si>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</si>
  <si>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</si>
  <si>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</si>
  <si>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</si>
  <si>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</si>
  <si>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</si>
  <si>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</si>
  <si>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</si>
  <si>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</si>
  <si>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</si>
  <si>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</si>
  <si>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</si>
  <si>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</si>
  <si>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</si>
  <si>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</si>
  <si>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</si>
  <si>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</si>
  <si>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</si>
  <si>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</si>
  <si>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</si>
  <si>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</si>
  <si>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</si>
  <si>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</si>
  <si>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</si>
  <si>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</si>
  <si>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</si>
  <si>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</si>
  <si>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</si>
  <si>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</si>
  <si>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</si>
  <si>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</si>
  <si>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</si>
  <si>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</si>
  <si>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</si>
  <si>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</si>
  <si>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</si>
  <si>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</si>
  <si>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</si>
  <si>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</si>
  <si>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</si>
  <si>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</si>
  <si>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</si>
  <si>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</si>
  <si>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</si>
  <si>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</si>
  <si>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</si>
  <si>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</si>
  <si>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</si>
  <si>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</si>
  <si>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</si>
  <si>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</si>
  <si>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</si>
  <si>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</si>
  <si>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</si>
  <si>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</si>
  <si>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</si>
  <si>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</si>
  <si>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</si>
  <si>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</si>
  <si>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</si>
  <si>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</si>
  <si>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</si>
  <si>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</si>
  <si>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</si>
  <si>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</si>
  <si>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</si>
  <si>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</si>
  <si>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</si>
  <si>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</si>
  <si>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</si>
  <si>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</si>
  <si>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</si>
  <si>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</si>
  <si>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</si>
  <si>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</si>
  <si>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</si>
  <si>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</si>
  <si>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</si>
  <si>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</si>
  <si>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</si>
  <si>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</si>
  <si>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</si>
  <si>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</si>
  <si>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</si>
  <si>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</si>
  <si>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</si>
  <si>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</si>
  <si>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</si>
  <si>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</si>
  <si>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</si>
  <si>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</si>
  <si>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</si>
  <si>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</si>
  <si>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</si>
  <si>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</si>
  <si>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</si>
  <si>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</si>
  <si>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</si>
  <si>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</si>
  <si>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</si>
  <si>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</si>
  <si>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</si>
  <si>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</si>
  <si>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</si>
  <si>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</si>
  <si>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</si>
  <si>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</si>
  <si>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</si>
  <si>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</si>
  <si>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</si>
  <si>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</si>
  <si>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</si>
  <si>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</si>
  <si>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</si>
  <si>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</si>
  <si>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</si>
  <si>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</si>
  <si>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</si>
  <si>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</si>
  <si>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</si>
  <si>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</si>
  <si>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</si>
  <si>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</si>
  <si>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</si>
  <si>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</si>
  <si>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</si>
  <si>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</si>
  <si>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</si>
  <si>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</si>
  <si>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</si>
  <si>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</si>
  <si>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</si>
  <si>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</si>
  <si>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</si>
  <si>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</si>
  <si>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</si>
  <si>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</si>
  <si>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</si>
  <si>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</si>
  <si>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</si>
  <si>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</si>
  <si>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</si>
  <si>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</si>
  <si>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</si>
  <si>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</si>
  <si>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</si>
  <si>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</si>
  <si>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</si>
  <si>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</si>
  <si>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</si>
  <si>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</si>
  <si>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</si>
  <si>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</si>
  <si>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</si>
  <si>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</si>
  <si>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</si>
  <si>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</si>
  <si>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</si>
  <si>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</si>
  <si>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</si>
  <si>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</si>
  <si>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</si>
  <si>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</si>
  <si>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</si>
  <si>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</si>
  <si>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</si>
  <si>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</si>
  <si>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</si>
  <si>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</si>
  <si>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</si>
  <si>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</si>
  <si>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</si>
  <si>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</si>
  <si>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</si>
  <si>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</si>
  <si>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</si>
  <si>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</si>
  <si>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</si>
  <si>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</si>
  <si>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</si>
  <si>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</si>
  <si>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</si>
  <si>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</si>
  <si>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</si>
  <si>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</si>
  <si>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</si>
  <si>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</si>
  <si>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</si>
  <si>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</si>
  <si>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</si>
  <si>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</si>
  <si>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</si>
  <si>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</si>
  <si>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</si>
  <si>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</si>
  <si>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</si>
  <si>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</si>
  <si>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</si>
  <si>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</si>
  <si>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</si>
  <si>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</si>
  <si>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</si>
  <si>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</si>
  <si>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</si>
  <si>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</si>
  <si>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</si>
  <si>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</si>
  <si>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</si>
  <si>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</si>
  <si>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</si>
  <si>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</si>
  <si>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</si>
  <si>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</si>
  <si>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</si>
  <si>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</si>
  <si>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</si>
  <si>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</si>
  <si>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</si>
  <si>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</si>
  <si>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</si>
  <si>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</si>
  <si>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</si>
  <si>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</si>
  <si>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</si>
  <si>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</si>
  <si>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</si>
  <si>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</si>
  <si>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</si>
  <si>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</si>
  <si>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</si>
  <si>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</si>
  <si>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</si>
  <si>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</si>
  <si>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</si>
  <si>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</si>
  <si>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</si>
  <si>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</si>
  <si>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</si>
  <si>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</si>
  <si>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</si>
  <si>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</si>
  <si>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</si>
  <si>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</si>
  <si>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</si>
  <si>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</si>
  <si>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</si>
  <si>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</si>
  <si>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</si>
  <si>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</si>
  <si>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</si>
  <si>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</si>
  <si>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</si>
  <si>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</si>
  <si>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</si>
  <si>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</si>
  <si>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</si>
  <si>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</si>
  <si>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</si>
  <si>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</si>
  <si>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</si>
  <si>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</si>
  <si>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</si>
  <si>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</si>
  <si>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</si>
  <si>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</si>
  <si>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</si>
  <si>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</si>
  <si>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</si>
  <si>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</si>
  <si>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</si>
  <si>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</si>
  <si>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</si>
  <si>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</si>
  <si>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</si>
  <si>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</si>
  <si>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</si>
  <si>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</si>
  <si>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</si>
  <si>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</si>
  <si>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</si>
  <si>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</si>
  <si>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</si>
  <si>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</si>
  <si>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</si>
  <si>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</si>
  <si>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</si>
  <si>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</si>
  <si>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</si>
  <si>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</si>
  <si>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</si>
  <si>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</si>
  <si>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</si>
  <si>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</si>
  <si>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</si>
  <si>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</si>
  <si>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</si>
  <si>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</si>
  <si>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</si>
  <si>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</si>
  <si>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</si>
  <si>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</si>
  <si>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</si>
  <si>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</si>
  <si>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</si>
  <si>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</si>
  <si>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</si>
  <si>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</si>
  <si>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</si>
  <si>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</si>
  <si>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</si>
  <si>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</si>
  <si>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</si>
  <si>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</si>
  <si>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</si>
  <si>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</si>
  <si>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</si>
  <si>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</si>
  <si>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</si>
  <si>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</si>
  <si>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</si>
  <si>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</si>
  <si>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</si>
  <si>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</si>
  <si>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</si>
  <si>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</si>
  <si>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</si>
  <si>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</si>
  <si>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</si>
  <si>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</si>
  <si>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</si>
  <si>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</si>
  <si>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</si>
  <si>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</si>
  <si>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</si>
  <si>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</si>
  <si>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</si>
  <si>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</si>
  <si>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</si>
  <si>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</si>
  <si>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</si>
  <si>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</si>
  <si>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</si>
  <si>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</si>
  <si>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</si>
  <si>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</si>
  <si>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</si>
  <si>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</si>
  <si>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</si>
  <si>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</si>
  <si>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</si>
  <si>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</si>
  <si>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</si>
  <si>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</si>
  <si>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</si>
  <si>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</si>
  <si>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</si>
  <si>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</si>
  <si>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</si>
  <si>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</si>
  <si>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</si>
  <si>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</si>
  <si>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</si>
  <si>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</si>
  <si>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</si>
  <si>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</si>
  <si>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</si>
  <si>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</si>
  <si>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</si>
  <si>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</si>
  <si>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</si>
  <si>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</si>
  <si>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</si>
  <si>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</si>
  <si>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</si>
  <si>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</si>
  <si>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</si>
  <si>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</si>
  <si>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</si>
  <si>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</si>
  <si>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</si>
  <si>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</si>
  <si>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</si>
  <si>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</si>
  <si>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</si>
  <si>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</si>
  <si>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</si>
  <si>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</si>
  <si>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</si>
  <si>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</si>
  <si>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</si>
  <si>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</si>
  <si>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</si>
  <si>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</si>
  <si>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</si>
  <si>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</si>
  <si>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</si>
  <si>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</si>
  <si>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</si>
  <si>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</si>
  <si>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</si>
  <si>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</si>
  <si>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</si>
  <si>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</si>
  <si>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</si>
  <si>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</si>
  <si>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</si>
  <si>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</si>
  <si>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</si>
  <si>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</si>
  <si>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</si>
  <si>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</si>
  <si>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</si>
  <si>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</si>
  <si>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</si>
  <si>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</si>
  <si>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</si>
  <si>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</si>
  <si>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</si>
  <si>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</si>
  <si>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</si>
  <si>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</si>
  <si>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</si>
  <si>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</si>
  <si>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</si>
  <si>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</si>
  <si>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</si>
  <si>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</si>
  <si>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</si>
  <si>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</si>
  <si>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</si>
  <si>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</si>
  <si>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</si>
  <si>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</si>
  <si>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</si>
  <si>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</si>
  <si>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</si>
  <si>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</si>
  <si>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</si>
  <si>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</si>
  <si>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</si>
  <si>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</si>
  <si>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</si>
  <si>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</si>
  <si>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</si>
  <si>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</si>
  <si>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</si>
  <si>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</si>
  <si>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</si>
  <si>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</si>
  <si>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</si>
  <si>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</si>
  <si>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</si>
  <si>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</si>
  <si>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</si>
  <si>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</si>
  <si>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</si>
  <si>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</si>
  <si>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</si>
  <si>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</si>
  <si>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</si>
  <si>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</si>
  <si>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</si>
  <si>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</si>
  <si>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</si>
  <si>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</si>
  <si>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</si>
  <si>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</si>
  <si>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</si>
  <si>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</si>
  <si>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</si>
  <si>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</si>
  <si>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</si>
  <si>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</si>
  <si>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</si>
  <si>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</si>
  <si>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</si>
  <si>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</si>
  <si>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</si>
  <si>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</si>
  <si>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</si>
  <si>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</si>
  <si>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</si>
  <si>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</si>
  <si>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</si>
  <si>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</si>
  <si>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</si>
  <si>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</si>
  <si>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</si>
  <si>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</si>
  <si>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</si>
  <si>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</si>
  <si>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</si>
  <si>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</si>
  <si>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</si>
  <si>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</si>
  <si>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</si>
  <si>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</si>
  <si>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</si>
  <si>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</si>
  <si>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</si>
  <si>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</si>
  <si>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</si>
  <si>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</si>
  <si>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</si>
  <si>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</si>
  <si>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</si>
  <si>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</si>
  <si>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</si>
  <si>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</si>
  <si>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</si>
  <si>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</si>
  <si>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</si>
  <si>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</si>
  <si>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</si>
  <si>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</si>
  <si>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</si>
  <si>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</si>
  <si>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</si>
  <si>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</si>
  <si>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</si>
  <si>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</si>
  <si>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</si>
  <si>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</si>
  <si>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</si>
  <si>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</si>
  <si>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</si>
  <si>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</si>
  <si>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</si>
  <si>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</si>
  <si>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</si>
  <si>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</si>
  <si>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</si>
  <si>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</si>
  <si>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</si>
  <si>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</si>
  <si>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</si>
  <si>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</si>
  <si>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</si>
  <si>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</si>
  <si>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</si>
  <si>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</si>
  <si>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</si>
  <si>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</si>
  <si>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</si>
  <si>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</si>
  <si>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</si>
  <si>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</si>
  <si>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</si>
  <si>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</si>
  <si>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</si>
  <si>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</si>
  <si>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</si>
  <si>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</si>
  <si>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</si>
  <si>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</si>
  <si>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</si>
  <si>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</si>
  <si>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</si>
  <si>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</si>
  <si>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</si>
  <si>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</si>
  <si>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</si>
  <si>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</si>
  <si>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</si>
  <si>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</si>
  <si>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</si>
  <si>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</si>
  <si>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</si>
  <si>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</si>
  <si>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</si>
  <si>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</si>
  <si>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</si>
  <si>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</si>
  <si>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</si>
  <si>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</si>
  <si>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</si>
  <si>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</si>
  <si>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</si>
  <si>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</si>
  <si>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</si>
  <si>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</si>
  <si>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</si>
  <si>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</si>
  <si>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</si>
  <si>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</si>
  <si>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</si>
  <si>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</si>
  <si>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</si>
  <si>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</si>
  <si>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</si>
  <si>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</si>
  <si>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</si>
  <si>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</si>
  <si>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</si>
  <si>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</si>
  <si>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</si>
  <si>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</si>
  <si>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</si>
  <si>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</si>
  <si>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</si>
  <si>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</si>
  <si>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</si>
  <si>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</si>
  <si>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</si>
  <si>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</si>
  <si>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</si>
  <si>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</si>
  <si>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</si>
  <si>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</si>
  <si>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</si>
  <si>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</si>
  <si>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</si>
  <si>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</si>
  <si>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</si>
  <si>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</si>
  <si>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</si>
  <si>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</si>
  <si>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</si>
  <si>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</si>
  <si>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</si>
  <si>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</si>
  <si>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</si>
  <si>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</si>
  <si>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</si>
  <si>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</si>
  <si>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</si>
  <si>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</si>
  <si>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</si>
  <si>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</si>
  <si>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</si>
  <si>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</si>
  <si>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</si>
  <si>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</si>
  <si>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</si>
  <si>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</si>
  <si>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</si>
  <si>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</si>
  <si>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</si>
  <si>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</si>
  <si>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</si>
  <si>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</si>
  <si>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</si>
  <si>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</si>
  <si>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</si>
  <si>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</si>
  <si>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</si>
  <si>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</si>
  <si>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</si>
  <si>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</si>
  <si>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</si>
  <si>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</si>
  <si>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</si>
  <si>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</si>
  <si>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</si>
  <si>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</si>
  <si>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</si>
  <si>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</si>
  <si>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</si>
  <si>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</si>
  <si>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</si>
  <si>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</si>
  <si>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</si>
  <si>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</si>
  <si>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</si>
  <si>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</si>
  <si>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</si>
  <si>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</si>
  <si>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</si>
  <si>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</si>
  <si>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</si>
  <si>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</si>
  <si>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</si>
  <si>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</si>
  <si>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</si>
  <si>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</si>
  <si>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</si>
  <si>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</si>
  <si>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</si>
  <si>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</si>
  <si>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</si>
  <si>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</si>
  <si>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</si>
  <si>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</si>
  <si>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</si>
  <si>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</si>
  <si>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</si>
  <si>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</si>
  <si>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</si>
  <si>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</si>
  <si>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</si>
  <si>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</si>
  <si>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</si>
  <si>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</si>
  <si>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</si>
  <si>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</si>
  <si>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</si>
  <si>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</si>
  <si>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</si>
  <si>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</si>
  <si>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</si>
  <si>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</si>
  <si>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</si>
  <si>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</si>
  <si>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</si>
  <si>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</si>
  <si>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</si>
  <si>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</si>
  <si>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</si>
  <si>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</si>
  <si>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</si>
  <si>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</si>
  <si>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</si>
  <si>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</si>
  <si>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</si>
  <si>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</si>
  <si>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</si>
  <si>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</si>
  <si>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</si>
  <si>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</si>
  <si>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</si>
  <si>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</si>
  <si>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</si>
  <si>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</si>
  <si>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</si>
  <si>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</si>
  <si>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</si>
  <si>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</si>
  <si>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</si>
  <si>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</si>
  <si>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</si>
  <si>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</si>
  <si>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</si>
  <si>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</si>
  <si>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</si>
  <si>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</si>
  <si>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</si>
  <si>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</si>
  <si>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</si>
  <si>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</si>
  <si>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</si>
  <si>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</si>
  <si>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</si>
  <si>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</si>
  <si>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</si>
  <si>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</si>
  <si>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</si>
  <si>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</si>
  <si>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</si>
  <si>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</si>
  <si>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</si>
  <si>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</si>
  <si>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</si>
  <si>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</si>
  <si>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</si>
  <si>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</si>
  <si>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</si>
  <si>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</si>
  <si>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</si>
  <si>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</si>
  <si>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</si>
  <si>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</si>
  <si>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</si>
  <si>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</si>
  <si>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</si>
  <si>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</si>
  <si>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</si>
  <si>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</si>
  <si>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</si>
  <si>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</si>
  <si>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</si>
  <si>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</si>
  <si>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</si>
  <si>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</si>
  <si>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</si>
  <si>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</si>
  <si>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</si>
  <si>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</si>
  <si>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</si>
  <si>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</si>
  <si>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</si>
  <si>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</si>
  <si>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</si>
  <si>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</si>
  <si>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</si>
  <si>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</si>
  <si>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</si>
  <si>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</si>
  <si>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</si>
  <si>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</si>
  <si>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</si>
  <si>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</si>
  <si>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</si>
  <si>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</si>
  <si>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</si>
  <si>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</si>
  <si>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</si>
  <si>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</si>
  <si>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</si>
  <si>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</si>
  <si>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</si>
  <si>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</si>
  <si>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</si>
  <si>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</si>
  <si>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</si>
  <si>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</si>
  <si>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</si>
  <si>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</si>
  <si>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</si>
  <si>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</si>
  <si>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</si>
  <si>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</si>
  <si>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</si>
  <si>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</si>
  <si>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</si>
  <si>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</si>
  <si>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</si>
  <si>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</si>
  <si>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</si>
  <si>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</si>
  <si>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</si>
  <si>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</si>
  <si>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</si>
  <si>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</si>
  <si>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</si>
  <si>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</si>
  <si>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</si>
  <si>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</si>
  <si>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</si>
  <si>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</si>
  <si>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</si>
  <si>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</si>
  <si>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</si>
  <si>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</si>
  <si>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</si>
  <si>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</si>
  <si>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</si>
  <si>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</si>
  <si>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</si>
  <si>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</si>
  <si>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</si>
  <si>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</si>
  <si>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</si>
  <si>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</si>
  <si>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</si>
  <si>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</si>
  <si>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</si>
  <si>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</si>
  <si>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</si>
  <si>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</si>
  <si>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</si>
  <si>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</si>
  <si>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</si>
  <si>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</si>
  <si>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</si>
  <si>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</si>
  <si>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</si>
  <si>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</si>
  <si>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</si>
  <si>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</si>
  <si>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</si>
  <si>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</si>
  <si>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</si>
  <si>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</si>
  <si>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</si>
  <si>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</si>
  <si>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</si>
  <si>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</si>
  <si>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</si>
  <si>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</si>
  <si>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</si>
  <si>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</si>
  <si>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</si>
  <si>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</si>
  <si>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</si>
  <si>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</si>
  <si>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</si>
  <si>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</si>
  <si>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</si>
  <si>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</si>
  <si>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</si>
  <si>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</si>
  <si>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</si>
  <si>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</si>
  <si>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</si>
  <si>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</si>
  <si>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</si>
  <si>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</si>
  <si>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</si>
  <si>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</si>
  <si>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</si>
  <si>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</si>
  <si>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</si>
  <si>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</si>
  <si>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</si>
  <si>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</si>
  <si>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</si>
  <si>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</si>
  <si>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</si>
  <si>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</si>
  <si>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</si>
  <si>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</si>
  <si>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</si>
  <si>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</si>
  <si>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</si>
  <si>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</si>
  <si>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</si>
  <si>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</si>
  <si>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</si>
  <si>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</si>
  <si>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</si>
  <si>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</si>
  <si>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</si>
  <si>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</si>
  <si>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</si>
  <si>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</si>
  <si>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</si>
  <si>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</si>
  <si>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</si>
  <si>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</si>
  <si>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</si>
  <si>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</si>
  <si>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</si>
  <si>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</si>
  <si>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</si>
  <si>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</si>
  <si>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</si>
  <si>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</si>
  <si>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</si>
  <si>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</si>
  <si>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</si>
  <si>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</si>
  <si>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</si>
  <si>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</si>
  <si>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</si>
  <si>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</si>
  <si>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</si>
  <si>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</si>
  <si>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</si>
  <si>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</si>
  <si>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</si>
  <si>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</si>
  <si>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</si>
  <si>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</si>
  <si>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</si>
  <si>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</si>
  <si>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</si>
  <si>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</si>
  <si>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</si>
  <si>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</si>
  <si>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</si>
  <si>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</si>
  <si>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</si>
  <si>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</si>
  <si>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</si>
  <si>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</si>
  <si>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</si>
  <si>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</si>
  <si>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</si>
  <si>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</si>
  <si>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</si>
  <si>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</si>
  <si>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</si>
  <si>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</si>
  <si>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</si>
  <si>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</si>
  <si>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</si>
  <si>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</si>
  <si>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</si>
  <si>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</si>
  <si>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</si>
  <si>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</si>
  <si>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</si>
  <si>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</si>
  <si>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</si>
  <si>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</si>
  <si>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</si>
  <si>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</si>
  <si>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</si>
  <si>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</si>
  <si>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</si>
  <si>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</si>
  <si>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</si>
  <si>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</si>
  <si>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</si>
  <si>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</si>
  <si>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</si>
  <si>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</si>
  <si>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</si>
  <si>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</si>
  <si>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</si>
  <si>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</si>
  <si>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</si>
  <si>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</si>
  <si>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</si>
  <si>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</si>
  <si>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</si>
  <si>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</si>
  <si>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</si>
  <si>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</si>
  <si>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</si>
  <si>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</si>
  <si>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</si>
  <si>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</si>
  <si>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</si>
  <si>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</si>
  <si>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</si>
  <si>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</si>
  <si>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</si>
  <si>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</si>
  <si>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</si>
  <si>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</si>
  <si>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</si>
  <si>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</si>
  <si>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</si>
  <si>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</si>
  <si>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</si>
  <si>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</si>
  <si>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</si>
  <si>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</si>
  <si>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</si>
  <si>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</si>
  <si>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</si>
  <si>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</si>
  <si>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</si>
  <si>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</si>
  <si>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</si>
  <si>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</si>
  <si>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</si>
  <si>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</si>
  <si>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</si>
  <si>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</si>
  <si>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</si>
  <si>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</si>
  <si>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</si>
  <si>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</si>
  <si>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</si>
  <si>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</si>
  <si>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</si>
  <si>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</si>
  <si>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</si>
  <si>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</si>
  <si>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</si>
  <si>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</si>
  <si>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</si>
  <si>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</si>
  <si>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</si>
  <si>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</si>
  <si>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</si>
  <si>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</si>
  <si>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</si>
  <si>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</si>
  <si>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</si>
  <si>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</si>
  <si>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</si>
  <si>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</si>
  <si>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</si>
  <si>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</si>
  <si>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</si>
  <si>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</si>
  <si>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</si>
  <si>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</si>
  <si>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</si>
  <si>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</si>
  <si>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</si>
  <si>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</si>
  <si>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</si>
  <si>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</si>
  <si>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</si>
  <si>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</si>
  <si>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</si>
  <si>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</si>
  <si>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</si>
  <si>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</si>
  <si>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</si>
  <si>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</si>
  <si>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</si>
  <si>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</si>
  <si>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</si>
  <si>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</si>
  <si>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</si>
  <si>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</si>
  <si>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</si>
  <si>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</si>
  <si>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</si>
  <si>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</si>
  <si>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</si>
  <si>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</si>
  <si>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</si>
  <si>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</si>
  <si>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</si>
  <si>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</si>
  <si>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</si>
  <si>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</si>
  <si>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</si>
  <si>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</si>
  <si>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</si>
  <si>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</si>
  <si>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</si>
  <si>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</si>
  <si>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</si>
  <si>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</si>
  <si>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</si>
  <si>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</si>
  <si>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</si>
  <si>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</si>
  <si>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</si>
  <si>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</si>
  <si>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</si>
  <si>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</si>
  <si>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</si>
  <si>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</si>
  <si>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</si>
  <si>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</si>
  <si>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</si>
  <si>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</si>
  <si>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</si>
  <si>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</si>
  <si>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</si>
  <si>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</si>
  <si>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</si>
  <si>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</si>
  <si>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</si>
  <si>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</si>
  <si>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</si>
  <si>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</si>
  <si>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</si>
  <si>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</si>
  <si>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</si>
  <si>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</si>
  <si>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</si>
  <si>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</si>
  <si>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</si>
  <si>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</si>
  <si>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</si>
  <si>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</si>
  <si>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</si>
  <si>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</si>
  <si>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</si>
  <si>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</si>
  <si>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</si>
  <si>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</si>
  <si>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</si>
  <si>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</si>
  <si>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</si>
  <si>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</si>
  <si>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</si>
  <si>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</si>
  <si>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</si>
  <si>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</si>
  <si>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</si>
  <si>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</si>
  <si>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</si>
  <si>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</si>
  <si>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</si>
  <si>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</si>
  <si>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</si>
  <si>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</si>
  <si>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</si>
  <si>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</si>
  <si>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</si>
  <si>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</si>
  <si>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</si>
  <si>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</si>
  <si>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</si>
  <si>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</si>
  <si>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</si>
  <si>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</si>
  <si>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</si>
  <si>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</si>
  <si>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</si>
  <si>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</si>
  <si>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</si>
  <si>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</si>
  <si>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</si>
  <si>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</si>
  <si>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</si>
  <si>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</si>
  <si>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</si>
  <si>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</si>
  <si>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</si>
  <si>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</si>
  <si>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</si>
  <si>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</si>
  <si>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</si>
  <si>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</si>
  <si>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</si>
  <si>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</si>
  <si>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</si>
  <si>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</si>
  <si>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</si>
  <si>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</si>
  <si>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</si>
  <si>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</si>
  <si>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</si>
  <si>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</si>
  <si>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</si>
  <si>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</si>
  <si>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</si>
  <si>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</si>
  <si>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</si>
  <si>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</si>
  <si>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</si>
  <si>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</si>
  <si>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</si>
  <si>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</si>
  <si>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</si>
  <si>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</si>
  <si>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</si>
  <si>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</si>
  <si>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</si>
  <si>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</si>
  <si>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</si>
  <si>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</si>
  <si>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</si>
  <si>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</si>
  <si>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</si>
  <si>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</si>
  <si>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</si>
  <si>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</si>
  <si>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</si>
  <si>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</si>
  <si>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</si>
  <si>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</si>
  <si>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</si>
  <si>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</si>
  <si>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</si>
  <si>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</si>
  <si>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</si>
  <si>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</si>
  <si>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</si>
  <si>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</si>
  <si>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</si>
  <si>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</si>
  <si>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</si>
  <si>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</si>
  <si>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</si>
  <si>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</si>
  <si>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</si>
  <si>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</si>
  <si>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</si>
  <si>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</si>
  <si>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</si>
  <si>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</si>
  <si>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</si>
  <si>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</si>
  <si>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</si>
  <si>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</si>
  <si>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</si>
  <si>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</si>
  <si>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</si>
  <si>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</si>
  <si>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</si>
  <si>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</si>
  <si>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</si>
  <si>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</si>
  <si>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</si>
  <si>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</si>
  <si>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</si>
  <si>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</si>
  <si>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</si>
  <si>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</si>
  <si>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</si>
  <si>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</si>
  <si>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</si>
  <si>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</si>
  <si>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</si>
  <si>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</si>
  <si>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</si>
  <si>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</si>
  <si>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</si>
  <si>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</si>
  <si>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</si>
  <si>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</si>
  <si>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</si>
  <si>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</si>
  <si>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</si>
  <si>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</si>
  <si>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</si>
  <si>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</si>
  <si>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</si>
  <si>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</si>
  <si>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</si>
  <si>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</si>
  <si>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</si>
  <si>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</si>
  <si>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</si>
  <si>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</si>
  <si>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</si>
  <si>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</si>
  <si>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</si>
  <si>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</si>
  <si>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</si>
  <si>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</si>
  <si>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</si>
  <si>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</si>
  <si>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</si>
  <si>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</si>
  <si>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</si>
  <si>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</si>
  <si>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</si>
  <si>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</si>
  <si>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</si>
  <si>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</si>
  <si>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</si>
  <si>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</si>
  <si>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</si>
  <si>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</si>
  <si>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</si>
  <si>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</si>
  <si>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</si>
  <si>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</si>
  <si>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</si>
  <si>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</si>
  <si>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</si>
  <si>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</si>
  <si>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</si>
  <si>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</si>
  <si>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</si>
  <si>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</si>
  <si>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</si>
  <si>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</si>
  <si>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</si>
  <si>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</si>
  <si>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</si>
  <si>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</si>
  <si>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</si>
  <si>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</si>
  <si>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</si>
  <si>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</si>
  <si>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</si>
  <si>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</si>
  <si>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</si>
  <si>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</si>
  <si>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</si>
  <si>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</si>
  <si>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</si>
  <si>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</si>
  <si>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</si>
  <si>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</si>
  <si>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</si>
  <si>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</si>
  <si>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</si>
  <si>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</si>
  <si>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</si>
  <si>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</si>
  <si>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</si>
  <si>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</si>
  <si>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</si>
  <si>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</si>
  <si>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</si>
  <si>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</si>
  <si>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</si>
  <si>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</si>
  <si>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</si>
  <si>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</si>
  <si>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</si>
  <si>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</si>
  <si>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</si>
  <si>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</si>
  <si>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</si>
  <si>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</si>
  <si>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</si>
  <si>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</si>
  <si>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</si>
  <si>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</si>
  <si>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</si>
  <si>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</si>
  <si>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</si>
  <si>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</si>
  <si>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</si>
  <si>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</si>
  <si>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</si>
  <si>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</si>
  <si>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</si>
  <si>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</si>
  <si>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</si>
  <si>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</si>
  <si>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</si>
  <si>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</si>
  <si>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</si>
  <si>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</si>
  <si>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</si>
  <si>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</si>
  <si>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</si>
  <si>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</si>
  <si>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</si>
  <si>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</si>
  <si>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</si>
  <si>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</si>
  <si>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</si>
  <si>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</si>
  <si>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</si>
  <si>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</si>
  <si>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</si>
  <si>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</si>
  <si>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</si>
  <si>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</si>
  <si>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</si>
  <si>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</si>
  <si>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</si>
  <si>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</si>
  <si>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</si>
  <si>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</si>
  <si>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</si>
  <si>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</si>
  <si>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</si>
  <si>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</si>
  <si>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</si>
  <si>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</si>
  <si>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</si>
  <si>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</si>
  <si>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</si>
  <si>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</si>
  <si>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</si>
  <si>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</si>
  <si>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</si>
  <si>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</si>
  <si>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</si>
  <si>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</si>
  <si>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</si>
  <si>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</si>
  <si>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</si>
  <si>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</si>
  <si>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</si>
  <si>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</si>
  <si>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</si>
  <si>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</si>
  <si>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</si>
  <si>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</si>
  <si>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</si>
  <si>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</si>
  <si>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</si>
  <si>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</si>
  <si>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</si>
  <si>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</si>
  <si>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</si>
  <si>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</si>
  <si>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</si>
  <si>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</si>
  <si>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</si>
  <si>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</si>
  <si>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</si>
  <si>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</si>
  <si>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</si>
  <si>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</si>
  <si>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</si>
  <si>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</si>
  <si>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</si>
  <si>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</si>
  <si>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</si>
  <si>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</si>
  <si>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</si>
  <si>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</si>
  <si>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</si>
  <si>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</si>
  <si>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</si>
  <si>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</si>
  <si>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</si>
  <si>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</si>
  <si>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</si>
  <si>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</si>
  <si>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</si>
  <si>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</si>
  <si>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</si>
  <si>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</si>
  <si>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</si>
  <si>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</si>
  <si>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</si>
  <si>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</si>
  <si>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</si>
  <si>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</si>
  <si>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</si>
  <si>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</si>
  <si>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</si>
  <si>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</si>
  <si>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</si>
  <si>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</si>
  <si>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</si>
  <si>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</si>
  <si>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</si>
  <si>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</si>
  <si>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</si>
  <si>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</si>
  <si>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</si>
  <si>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</si>
  <si>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</si>
  <si>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</si>
  <si>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</si>
  <si>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</si>
  <si>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</si>
  <si>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</si>
  <si>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</si>
  <si>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</si>
  <si>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</si>
  <si>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</si>
  <si>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</si>
  <si>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</si>
  <si>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</si>
  <si>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</si>
  <si>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</si>
  <si>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</si>
  <si>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</si>
  <si>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</si>
  <si>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</si>
  <si>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</si>
  <si>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</si>
  <si>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</si>
  <si>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</si>
  <si>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</si>
  <si>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</si>
  <si>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</si>
  <si>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</si>
  <si>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</si>
  <si>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</si>
  <si>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</si>
  <si>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</si>
  <si>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</si>
  <si>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</si>
  <si>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</si>
  <si>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</si>
  <si>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</si>
  <si>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</si>
  <si>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</si>
  <si>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</si>
  <si>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</si>
  <si>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</si>
  <si>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</si>
  <si>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</si>
  <si>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</si>
  <si>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</si>
  <si>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</si>
  <si>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</si>
  <si>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</si>
  <si>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</si>
  <si>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</si>
  <si>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</si>
  <si>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</si>
  <si>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</si>
  <si>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</si>
  <si>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</si>
  <si>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</si>
  <si>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</si>
  <si>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</si>
  <si>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</si>
  <si>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</si>
  <si>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</si>
  <si>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</si>
  <si>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</si>
  <si>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</si>
  <si>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</si>
  <si>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</si>
  <si>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</si>
  <si>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</si>
  <si>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</si>
  <si>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</si>
  <si>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</si>
  <si>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</si>
  <si>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</si>
  <si>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</si>
  <si>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</si>
  <si>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</si>
  <si>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</si>
  <si>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</si>
  <si>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</si>
  <si>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</si>
  <si>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</si>
  <si>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</si>
  <si>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</si>
  <si>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</si>
  <si>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</si>
  <si>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</si>
  <si>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</si>
  <si>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</si>
  <si>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</si>
  <si>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</si>
  <si>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</si>
  <si>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</si>
  <si>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</si>
  <si>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</si>
  <si>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</si>
  <si>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</si>
  <si>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</si>
  <si>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</si>
  <si>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</si>
  <si>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</si>
  <si>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</si>
  <si>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</si>
  <si>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</si>
  <si>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</si>
  <si>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</si>
  <si>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</si>
  <si>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</si>
  <si>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</si>
  <si>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</si>
  <si>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</si>
  <si>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</si>
  <si>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</si>
  <si>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</si>
  <si>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</si>
  <si>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</si>
  <si>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</si>
  <si>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</si>
  <si>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</si>
  <si>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</si>
  <si>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</si>
  <si>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</si>
  <si>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</si>
  <si>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</si>
  <si>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</si>
  <si>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</si>
  <si>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</si>
  <si>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</si>
  <si>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</si>
  <si>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</si>
  <si>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</si>
  <si>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</si>
  <si>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</si>
  <si>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</si>
  <si>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</si>
  <si>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</si>
  <si>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</si>
  <si>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</si>
  <si>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</si>
  <si>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</si>
  <si>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</si>
  <si>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</si>
  <si>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</si>
  <si>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</si>
  <si>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</si>
  <si>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</si>
  <si>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</si>
  <si>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</si>
  <si>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</si>
  <si>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</si>
  <si>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</si>
  <si>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</si>
  <si>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</si>
  <si>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</si>
  <si>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</si>
  <si>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</si>
  <si>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</si>
  <si>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</si>
  <si>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</si>
  <si>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</si>
  <si>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</si>
  <si>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</si>
  <si>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</si>
  <si>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</si>
  <si>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</si>
  <si>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</si>
  <si>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</si>
  <si>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</si>
  <si>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</si>
  <si>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</si>
  <si>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</si>
  <si>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</si>
  <si>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</si>
  <si>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</si>
  <si>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</si>
  <si>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</si>
  <si>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</si>
  <si>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</si>
  <si>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</si>
  <si>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</si>
  <si>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</si>
  <si>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</si>
  <si>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</si>
  <si>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</si>
  <si>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</si>
  <si>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</si>
  <si>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</si>
  <si>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</si>
  <si>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</si>
  <si>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</si>
  <si>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</si>
  <si>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</si>
  <si>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</si>
  <si>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</si>
  <si>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</si>
  <si>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</si>
  <si>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</si>
  <si>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</si>
  <si>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</si>
  <si>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</si>
  <si>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</si>
  <si>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</si>
  <si>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</si>
  <si>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</si>
  <si>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</si>
  <si>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</si>
  <si>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</si>
  <si>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</si>
  <si>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</si>
  <si>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</si>
  <si>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</si>
  <si>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</si>
  <si>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</si>
  <si>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</si>
  <si>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</si>
  <si>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</si>
  <si>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</si>
  <si>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</si>
  <si>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</si>
  <si>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</si>
  <si>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</si>
  <si>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</si>
  <si>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</si>
  <si>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</si>
  <si>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</si>
  <si>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</si>
  <si>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</si>
  <si>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</si>
  <si>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</si>
  <si>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</si>
  <si>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</si>
  <si>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</si>
  <si>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</si>
  <si>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</si>
  <si>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</si>
  <si>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</si>
  <si>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</si>
  <si>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</si>
  <si>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</si>
  <si>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</si>
  <si>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</si>
  <si>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</si>
  <si>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</si>
  <si>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</si>
  <si>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</si>
  <si>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</si>
  <si>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</si>
  <si>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</si>
  <si>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</si>
  <si>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</si>
  <si>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</si>
  <si>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</si>
  <si>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</si>
  <si>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</si>
  <si>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</si>
  <si>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</si>
  <si>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</si>
  <si>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</si>
  <si>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</si>
  <si>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</si>
  <si>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</si>
  <si>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</si>
  <si>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</si>
  <si>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</si>
  <si>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</si>
  <si>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</si>
  <si>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</si>
  <si>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</si>
  <si>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</si>
  <si>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</si>
  <si>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</si>
  <si>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</si>
  <si>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</si>
  <si>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</si>
  <si>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</si>
  <si>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</si>
  <si>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</si>
  <si>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</si>
  <si>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</si>
  <si>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</si>
  <si>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</si>
  <si>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</si>
  <si>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</si>
  <si>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</si>
  <si>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</si>
  <si>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</si>
  <si>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</si>
  <si>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</si>
  <si>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</si>
  <si>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</si>
  <si>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</si>
  <si>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</si>
  <si>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</si>
  <si>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</si>
  <si>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</si>
  <si>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</si>
  <si>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</si>
  <si>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</si>
  <si>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</si>
  <si>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</si>
  <si>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</si>
  <si>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</si>
  <si>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</si>
  <si>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</si>
  <si>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</si>
  <si>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</si>
  <si>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</si>
  <si>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</si>
  <si>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</si>
  <si>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</si>
  <si>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</si>
  <si>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</si>
  <si>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</si>
  <si>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</si>
  <si>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</si>
  <si>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</si>
  <si>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</si>
  <si>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</si>
  <si>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</si>
  <si>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</si>
  <si>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</si>
  <si>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</si>
  <si>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</si>
  <si>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</si>
  <si>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</si>
  <si>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</si>
  <si>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</si>
  <si>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</si>
  <si>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</si>
  <si>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</si>
  <si>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</si>
  <si>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</si>
  <si>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</si>
  <si>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</si>
  <si>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</si>
  <si>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</si>
  <si>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</si>
  <si>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</si>
  <si>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</si>
  <si>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</si>
  <si>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</si>
  <si>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</si>
  <si>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</si>
  <si>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</si>
  <si>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</si>
  <si>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</si>
  <si>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</si>
  <si>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</si>
  <si>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</si>
  <si>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</si>
  <si>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</si>
  <si>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</si>
  <si>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</si>
  <si>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</si>
  <si>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</si>
  <si>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</si>
  <si>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</si>
  <si>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</si>
  <si>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</si>
  <si>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</si>
  <si>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</si>
  <si>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</si>
  <si>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</si>
  <si>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</si>
  <si>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</si>
  <si>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</si>
  <si>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</si>
  <si>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</si>
  <si>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</si>
  <si>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</si>
  <si>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</si>
  <si>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</si>
  <si>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</si>
  <si>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</si>
  <si>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</si>
  <si>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</si>
  <si>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</si>
  <si>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</si>
  <si>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</si>
  <si>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</si>
  <si>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</si>
  <si>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</si>
  <si>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</si>
  <si>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</si>
  <si>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</si>
  <si>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</si>
  <si>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</si>
  <si>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</si>
  <si>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</si>
  <si>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</si>
  <si>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</si>
  <si>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</si>
  <si>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</si>
  <si>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</si>
  <si>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</si>
  <si>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</si>
  <si>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</si>
  <si>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</si>
  <si>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</si>
  <si>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</si>
  <si>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</si>
  <si>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</si>
  <si>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</si>
  <si>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</si>
  <si>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</si>
  <si>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</si>
  <si>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</si>
  <si>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</si>
  <si>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</si>
  <si>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</si>
  <si>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</si>
  <si>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</si>
  <si>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</si>
  <si>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</si>
  <si>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</si>
  <si>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</si>
  <si>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</si>
  <si>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</si>
  <si>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</si>
  <si>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</si>
  <si>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</si>
  <si>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</si>
  <si>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</si>
  <si>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</si>
  <si>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</si>
  <si>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</si>
  <si>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</si>
  <si>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</si>
  <si>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</si>
  <si>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</si>
  <si>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</si>
  <si>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</si>
  <si>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</si>
  <si>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</si>
  <si>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</si>
  <si>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</si>
  <si>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</si>
  <si>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</si>
  <si>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</si>
  <si>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</si>
  <si>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</si>
  <si>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</si>
  <si>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</si>
  <si>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</si>
  <si>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</si>
  <si>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</si>
  <si>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</si>
  <si>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</si>
  <si>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</si>
  <si>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</si>
  <si>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</si>
  <si>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</si>
  <si>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</si>
  <si>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</si>
  <si>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</si>
  <si>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</si>
  <si>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</si>
  <si>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</si>
  <si>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</si>
  <si>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</si>
  <si>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</si>
  <si>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</si>
  <si>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</si>
  <si>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</si>
  <si>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</si>
  <si>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</si>
  <si>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</si>
  <si>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</si>
  <si>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</si>
  <si>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</si>
  <si>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</si>
  <si>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</si>
  <si>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</si>
  <si>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</si>
  <si>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</si>
  <si>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</si>
  <si>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</si>
  <si>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</si>
  <si>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</si>
  <si>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</si>
  <si>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</si>
  <si>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</si>
  <si>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</si>
  <si>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</si>
  <si>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</si>
  <si>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</si>
  <si>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</si>
  <si>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</si>
  <si>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</si>
  <si>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</si>
  <si>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</si>
  <si>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</si>
  <si>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</si>
  <si>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</si>
  <si>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</si>
  <si>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</si>
  <si>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</si>
  <si>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</si>
  <si>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</si>
  <si>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</si>
  <si>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</si>
  <si>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</si>
  <si>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</si>
  <si>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</si>
  <si>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</si>
  <si>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</si>
  <si>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</si>
  <si>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</si>
  <si>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</si>
  <si>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</si>
  <si>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</si>
  <si>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</si>
  <si>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</si>
  <si>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</si>
  <si>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</si>
  <si>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</si>
  <si>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</si>
  <si>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</si>
  <si>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</si>
  <si>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</si>
  <si>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</si>
  <si>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</si>
  <si>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</si>
  <si>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</si>
  <si>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</si>
  <si>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</si>
  <si>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</si>
  <si>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</si>
  <si>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</si>
  <si>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</si>
  <si>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</si>
  <si>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</si>
  <si>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</si>
  <si>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</si>
  <si>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</si>
  <si>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</si>
  <si>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</si>
  <si>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</si>
  <si>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</si>
  <si>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</si>
  <si>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</si>
  <si>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</si>
  <si>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</si>
  <si>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</si>
  <si>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</si>
  <si>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</si>
  <si>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</si>
  <si>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</si>
  <si>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</si>
  <si>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</si>
  <si>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</si>
  <si>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</si>
  <si>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</si>
  <si>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</si>
  <si>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</si>
  <si>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</si>
  <si>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</si>
  <si>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</si>
  <si>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</si>
  <si>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</si>
  <si>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</si>
  <si>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</si>
  <si>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</si>
  <si>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</si>
  <si>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</si>
  <si>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</si>
  <si>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</si>
  <si>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</si>
  <si>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</si>
  <si>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</si>
  <si>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</si>
  <si>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</si>
  <si>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</si>
  <si>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</si>
  <si>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</si>
  <si>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</si>
  <si>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</si>
  <si>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</si>
  <si>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</si>
  <si>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</si>
  <si>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</si>
  <si>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</si>
  <si>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</si>
  <si>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</si>
  <si>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</si>
  <si>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</si>
  <si>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</si>
  <si>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</si>
  <si>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</si>
  <si>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</si>
  <si>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</si>
  <si>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</si>
  <si>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</si>
  <si>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</si>
  <si>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</si>
  <si>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</si>
  <si>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</si>
  <si>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</si>
  <si>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</si>
  <si>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</si>
  <si>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</si>
  <si>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</si>
  <si>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</si>
  <si>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</si>
  <si>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</si>
  <si>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</si>
  <si>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</si>
  <si>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</si>
  <si>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</si>
  <si>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</si>
  <si>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</si>
  <si>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</si>
  <si>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</si>
  <si>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</si>
  <si>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</si>
  <si>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</si>
  <si>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</si>
  <si>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</si>
  <si>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</si>
  <si>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</si>
  <si>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</si>
  <si>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</si>
  <si>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</si>
  <si>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</si>
  <si>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</si>
  <si>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</si>
  <si>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</si>
  <si>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</si>
  <si>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</si>
  <si>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</si>
  <si>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</si>
  <si>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</si>
  <si>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</si>
  <si>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</si>
  <si>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</si>
  <si>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</si>
  <si>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</si>
  <si>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</si>
  <si>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</si>
  <si>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</si>
  <si>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</si>
  <si>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</si>
  <si>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</si>
  <si>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</si>
  <si>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</si>
  <si>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</si>
  <si>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</si>
  <si>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</si>
  <si>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</si>
  <si>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</si>
  <si>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</si>
  <si>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</si>
  <si>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</si>
  <si>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</si>
  <si>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</si>
  <si>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</si>
  <si>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</si>
  <si>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</si>
  <si>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</si>
  <si>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</si>
  <si>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</si>
  <si>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</si>
  <si>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</si>
  <si>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</si>
  <si>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</si>
  <si>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</si>
  <si>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</si>
  <si>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</si>
  <si>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</si>
  <si>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</si>
  <si>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</si>
  <si>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</si>
  <si>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</si>
  <si>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</si>
  <si>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</si>
  <si>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</si>
  <si>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</si>
  <si>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</si>
  <si>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</si>
  <si>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</si>
  <si>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</si>
  <si>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</si>
  <si>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</si>
  <si>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</si>
  <si>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</si>
  <si>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</si>
  <si>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</si>
  <si>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</si>
  <si>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</si>
  <si>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</si>
  <si>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</si>
  <si>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</si>
  <si>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</si>
  <si>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</si>
  <si>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</si>
  <si>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</si>
  <si>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</si>
  <si>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</si>
  <si>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</si>
  <si>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</si>
  <si>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</si>
  <si>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</si>
  <si>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</si>
  <si>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</si>
  <si>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</si>
  <si>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</si>
  <si>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</si>
  <si>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</si>
  <si>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</si>
  <si>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</si>
  <si>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</si>
  <si>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</si>
  <si>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</si>
  <si>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</si>
  <si>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</si>
  <si>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</si>
  <si>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</si>
  <si>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</si>
  <si>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</si>
  <si>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</si>
  <si>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</si>
  <si>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</si>
  <si>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</si>
  <si>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</si>
  <si>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</si>
  <si>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</si>
  <si>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</si>
  <si>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</si>
  <si>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</si>
  <si>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</si>
  <si>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</si>
  <si>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</si>
  <si>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</si>
  <si>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</si>
  <si>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</si>
  <si>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</si>
  <si>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</si>
  <si>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</si>
  <si>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</si>
  <si>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</si>
  <si>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</si>
  <si>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</si>
  <si>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</si>
  <si>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</si>
  <si>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</si>
  <si>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</si>
  <si>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</si>
  <si>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</si>
  <si>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</si>
  <si>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</si>
  <si>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</si>
  <si>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</si>
  <si>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</si>
  <si>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</si>
  <si>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</si>
  <si>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</si>
  <si>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</si>
  <si>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</si>
  <si>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</si>
  <si>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</si>
  <si>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</si>
  <si>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</si>
  <si>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</si>
  <si>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</si>
  <si>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</si>
  <si>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</si>
  <si>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</si>
  <si>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</si>
  <si>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</si>
  <si>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</si>
  <si>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</si>
  <si>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</si>
  <si>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</si>
  <si>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</si>
  <si>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</si>
  <si>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</si>
  <si>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</si>
  <si>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</si>
  <si>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</si>
  <si>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</si>
  <si>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</si>
  <si>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</si>
  <si>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</si>
  <si>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</si>
  <si>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</si>
  <si>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</si>
  <si>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</si>
  <si>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</si>
  <si>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</si>
  <si>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</si>
  <si>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</si>
  <si>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</si>
  <si>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</si>
  <si>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</si>
  <si>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</si>
  <si>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</si>
  <si>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</si>
  <si>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</si>
  <si>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</si>
  <si>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</si>
  <si>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</si>
  <si>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</si>
  <si>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</si>
  <si>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</si>
  <si>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</si>
  <si>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</si>
  <si>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</si>
  <si>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</si>
  <si>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</si>
  <si>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</si>
  <si>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</si>
  <si>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</si>
  <si>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</si>
  <si>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</si>
  <si>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</si>
  <si>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</si>
  <si>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</si>
  <si>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</si>
  <si>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</si>
  <si>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</si>
  <si>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</si>
  <si>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</si>
  <si>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</si>
  <si>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</si>
  <si>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</si>
  <si>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</si>
  <si>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</si>
  <si>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</si>
  <si>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</si>
  <si>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</si>
  <si>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</si>
  <si>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</si>
  <si>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</si>
  <si>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</si>
  <si>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</si>
  <si>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</si>
  <si>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</si>
  <si>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</si>
  <si>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</si>
  <si>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</si>
  <si>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</si>
  <si>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</si>
  <si>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</si>
  <si>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</si>
  <si>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</si>
  <si>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</si>
  <si>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</si>
  <si>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</si>
  <si>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</si>
  <si>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</si>
  <si>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</si>
  <si>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</si>
  <si>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</si>
  <si>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</si>
  <si>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</si>
  <si>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</si>
  <si>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</si>
  <si>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</si>
  <si>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</si>
  <si>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</si>
  <si>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</si>
  <si>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</si>
  <si>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</si>
  <si>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</si>
  <si>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</si>
  <si>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</si>
  <si>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</si>
  <si>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</si>
  <si>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</si>
  <si>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</si>
  <si>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</si>
  <si>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</si>
  <si>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</si>
  <si>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</si>
  <si>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</si>
  <si>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</si>
  <si>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</si>
  <si>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</si>
  <si>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</si>
  <si>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</si>
  <si>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</si>
  <si>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</si>
  <si>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</si>
  <si>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</si>
  <si>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</si>
  <si>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</si>
  <si>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</si>
  <si>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</si>
  <si>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</si>
  <si>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</si>
  <si>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</si>
  <si>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</si>
  <si>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</si>
  <si>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</si>
  <si>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</si>
  <si>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</si>
  <si>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</si>
  <si>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</si>
  <si>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</si>
  <si>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</si>
  <si>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</si>
  <si>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</si>
  <si>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</si>
  <si>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</si>
  <si>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</si>
  <si>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</si>
  <si>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</si>
  <si>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</si>
  <si>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</si>
  <si>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</si>
  <si>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</si>
  <si>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</si>
  <si>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</si>
  <si>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</si>
  <si>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</si>
  <si>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</si>
  <si>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</si>
  <si>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</si>
  <si>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</si>
  <si>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</si>
  <si>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</si>
  <si>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</si>
  <si>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</si>
  <si>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</si>
  <si>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</si>
  <si>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</si>
  <si>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</si>
  <si>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</si>
  <si>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</si>
  <si>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</si>
  <si>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</si>
  <si>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</si>
  <si>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</si>
  <si>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</si>
  <si>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</si>
  <si>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</si>
  <si>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</si>
  <si>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</si>
  <si>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</si>
  <si>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</si>
  <si>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</si>
  <si>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</si>
  <si>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</si>
  <si>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</si>
  <si>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</si>
  <si>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</si>
  <si>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</si>
  <si>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</si>
  <si>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</si>
  <si>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</si>
  <si>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</si>
  <si>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</si>
  <si>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</si>
  <si>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</si>
  <si>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</si>
  <si>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</si>
  <si>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</si>
  <si>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</si>
  <si>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</si>
  <si>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</si>
  <si>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</si>
  <si>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</si>
  <si>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</si>
  <si>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</si>
  <si>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</si>
  <si>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</si>
  <si>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</si>
  <si>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</si>
  <si>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</si>
  <si>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</si>
  <si>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</si>
  <si>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</si>
  <si>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</si>
  <si>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</si>
  <si>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</si>
  <si>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</si>
  <si>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</si>
  <si>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</si>
  <si>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</si>
  <si>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</si>
  <si>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</si>
  <si>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</si>
  <si>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</si>
  <si>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</si>
  <si>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</si>
  <si>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</si>
  <si>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</si>
  <si>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</si>
  <si>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</si>
  <si>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</si>
  <si>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</si>
  <si>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</si>
  <si>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</si>
  <si>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</si>
  <si>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</si>
  <si>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</si>
  <si>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</si>
  <si>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</si>
  <si>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</si>
  <si>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</si>
  <si>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</si>
  <si>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</si>
  <si>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</si>
  <si>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</si>
  <si>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</si>
  <si>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</si>
  <si>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</si>
  <si>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</si>
  <si>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</si>
  <si>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</si>
  <si>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</si>
  <si>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</si>
  <si>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</si>
  <si>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</si>
  <si>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</si>
  <si>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</si>
  <si>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</si>
  <si>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</si>
  <si>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</si>
  <si>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</si>
  <si>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</si>
  <si>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</si>
  <si>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</si>
  <si>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</si>
  <si>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</si>
  <si>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</si>
  <si>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</si>
  <si>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</si>
  <si>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</si>
  <si>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</si>
  <si>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</si>
  <si>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</si>
  <si>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</si>
  <si>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</si>
  <si>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</si>
  <si>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</si>
  <si>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</si>
  <si>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</si>
  <si>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</si>
  <si>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</si>
  <si>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</si>
  <si>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</si>
  <si>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</si>
  <si>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</si>
  <si>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</si>
  <si>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</si>
  <si>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</si>
  <si>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</si>
  <si>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</si>
  <si>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</si>
  <si>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</si>
  <si>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</si>
  <si>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</si>
  <si>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</si>
  <si>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</si>
  <si>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</si>
  <si>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</si>
  <si>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</si>
  <si>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</si>
  <si>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</si>
  <si>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</si>
  <si>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</si>
  <si>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</si>
  <si>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</si>
  <si>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</si>
  <si>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</si>
  <si>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</si>
  <si>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</si>
  <si>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</si>
  <si>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</si>
  <si>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</si>
  <si>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</si>
  <si>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</si>
  <si>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</si>
  <si>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</si>
  <si>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</si>
  <si>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</si>
  <si>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</si>
  <si>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</si>
  <si>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</si>
  <si>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</si>
  <si>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</si>
  <si>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</si>
  <si>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</si>
  <si>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</si>
  <si>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</si>
  <si>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</si>
  <si>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</si>
  <si>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</si>
  <si>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</si>
  <si>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</si>
  <si>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</si>
  <si>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</si>
  <si>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</si>
  <si>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</si>
  <si>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</si>
  <si>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</si>
  <si>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</si>
  <si>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</si>
  <si>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</si>
  <si>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</si>
  <si>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</si>
  <si>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</si>
  <si>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</si>
  <si>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</si>
  <si>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</si>
  <si>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</si>
  <si>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</si>
  <si>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</si>
  <si>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</si>
  <si>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</si>
  <si>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</si>
  <si>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</si>
  <si>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</si>
  <si>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</si>
  <si>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</si>
  <si>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</si>
  <si>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</si>
  <si>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</si>
  <si>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</si>
  <si>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</si>
  <si>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</si>
  <si>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</si>
  <si>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</si>
  <si>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</si>
  <si>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</si>
  <si>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</si>
  <si>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</si>
  <si>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</si>
  <si>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</si>
  <si>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</si>
  <si>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</si>
  <si>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</si>
  <si>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</si>
  <si>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</si>
  <si>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</si>
  <si>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</si>
  <si>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</si>
  <si>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</si>
  <si>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</si>
  <si>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</si>
  <si>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</si>
  <si>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</si>
  <si>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</si>
  <si>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</si>
  <si>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</si>
  <si>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</si>
  <si>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</si>
  <si>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</si>
  <si>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</si>
  <si>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</si>
  <si>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</si>
  <si>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</si>
  <si>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</si>
  <si>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</si>
  <si>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</si>
  <si>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</si>
  <si>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</si>
  <si>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</si>
  <si>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</si>
  <si>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</si>
  <si>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</si>
  <si>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</si>
  <si>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</si>
  <si>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</si>
  <si>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</si>
  <si>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</si>
  <si>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</si>
  <si>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</si>
  <si>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</si>
  <si>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</si>
  <si>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</si>
  <si>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</si>
  <si>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</si>
  <si>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</si>
  <si>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</si>
  <si>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</si>
  <si>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</si>
  <si>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</si>
  <si>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</si>
  <si>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</si>
  <si>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</si>
  <si>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</si>
  <si>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</si>
  <si>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</si>
  <si>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</si>
  <si>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</si>
  <si>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</si>
  <si>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</si>
  <si>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</si>
  <si>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</si>
  <si>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</si>
  <si>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</si>
  <si>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</si>
  <si>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</si>
  <si>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</si>
  <si>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</si>
  <si>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</si>
  <si>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</si>
  <si>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</si>
  <si>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</si>
  <si>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</si>
  <si>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</si>
  <si>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</si>
  <si>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</si>
  <si>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</si>
  <si>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</si>
  <si>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</si>
  <si>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</si>
  <si>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</si>
  <si>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</si>
  <si>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</si>
  <si>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</si>
  <si>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</si>
  <si>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</si>
  <si>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</si>
  <si>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</si>
  <si>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</si>
  <si>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</si>
  <si>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</si>
  <si>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</si>
  <si>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</si>
  <si>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</si>
  <si>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</si>
  <si>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</si>
  <si>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</si>
  <si>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</si>
  <si>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</si>
  <si>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</si>
  <si>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</si>
  <si>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</si>
  <si>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</si>
  <si>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</si>
  <si>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</si>
  <si>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</si>
  <si>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</si>
  <si>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</si>
  <si>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</si>
  <si>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</si>
  <si>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</si>
  <si>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</si>
  <si>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</si>
  <si>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</si>
  <si>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</si>
  <si>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</si>
  <si>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</si>
  <si>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</si>
  <si>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</si>
  <si>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</si>
  <si>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</si>
  <si>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</si>
  <si>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</si>
  <si>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</si>
  <si>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</si>
  <si>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</si>
  <si>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</si>
  <si>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</si>
  <si>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</si>
  <si>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</si>
  <si>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</si>
  <si>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</si>
  <si>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</si>
  <si>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</si>
  <si>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</si>
  <si>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</si>
  <si>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</si>
  <si>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</si>
  <si>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</si>
  <si>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</si>
  <si>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</si>
  <si>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</si>
  <si>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</si>
  <si>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</si>
  <si>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</si>
  <si>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</si>
  <si>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</si>
  <si>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</si>
  <si>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</si>
  <si>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</si>
  <si>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</si>
  <si>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</si>
  <si>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</si>
  <si>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</si>
  <si>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</si>
  <si>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</si>
  <si>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</si>
  <si>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</si>
  <si>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</si>
  <si>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</si>
  <si>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</si>
  <si>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</si>
  <si>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</si>
  <si>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</si>
  <si>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</si>
  <si>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</si>
  <si>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</si>
  <si>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</si>
  <si>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</si>
  <si>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</si>
  <si>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</si>
  <si>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</si>
  <si>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</si>
  <si>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</si>
  <si>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</si>
  <si>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</si>
  <si>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</si>
  <si>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</si>
  <si>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</si>
  <si>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</si>
  <si>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</si>
  <si>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</si>
  <si>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</si>
  <si>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</si>
  <si>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</si>
  <si>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</si>
  <si>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</si>
  <si>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</si>
  <si>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</si>
  <si>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</si>
  <si>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</si>
  <si>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</si>
  <si>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</si>
  <si>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</si>
  <si>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</si>
  <si>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</si>
  <si>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</si>
  <si>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</si>
  <si>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</si>
  <si>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</si>
  <si>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</si>
  <si>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</si>
  <si>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</si>
  <si>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</si>
  <si>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</si>
  <si>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</si>
  <si>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</si>
  <si>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</si>
  <si>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</si>
  <si>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</si>
  <si>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</si>
  <si>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</si>
  <si>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</si>
  <si>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</si>
  <si>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</si>
  <si>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</si>
  <si>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</si>
  <si>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</si>
  <si>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</si>
  <si>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</si>
  <si>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</si>
  <si>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</si>
  <si>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</si>
  <si>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</si>
  <si>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</si>
  <si>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</si>
  <si>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</si>
  <si>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</si>
  <si>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</si>
  <si>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</si>
  <si>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</si>
  <si>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</si>
  <si>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</si>
  <si>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</si>
  <si>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</si>
  <si>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</si>
  <si>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</si>
  <si>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</si>
  <si>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</si>
  <si>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</si>
  <si>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</si>
  <si>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</si>
  <si>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</si>
  <si>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</si>
  <si>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</si>
  <si>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</si>
  <si>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</si>
  <si>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</si>
  <si>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</si>
  <si>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</si>
  <si>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</si>
  <si>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</si>
  <si>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</si>
  <si>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</si>
  <si>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</si>
  <si>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</si>
  <si>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</si>
  <si>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</si>
  <si>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</si>
  <si>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</si>
  <si>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</si>
  <si>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</si>
  <si>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</si>
  <si>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</si>
  <si>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</si>
  <si>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</si>
  <si>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</si>
  <si>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</si>
  <si>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</si>
  <si>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</si>
  <si>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</si>
  <si>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</si>
  <si>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</si>
  <si>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</si>
  <si>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</si>
  <si>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</si>
  <si>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</si>
  <si>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</si>
  <si>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</si>
  <si>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</si>
  <si>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</si>
  <si>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</si>
  <si>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</si>
  <si>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</si>
  <si>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</si>
  <si>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</si>
  <si>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</si>
  <si>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</si>
  <si>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</si>
  <si>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</si>
  <si>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</si>
  <si>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</si>
  <si>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</si>
  <si>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</si>
  <si>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</si>
  <si>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</si>
  <si>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</si>
  <si>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</si>
  <si>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</si>
  <si>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</si>
  <si>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</si>
  <si>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</si>
  <si>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</si>
  <si>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</si>
  <si>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</si>
  <si>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</si>
  <si>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</si>
  <si>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</si>
  <si>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</si>
  <si>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</si>
  <si>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</si>
  <si>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</si>
  <si>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</si>
  <si>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</si>
  <si>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</si>
  <si>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</si>
  <si>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</si>
  <si>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</si>
  <si>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</si>
  <si>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</si>
  <si>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</si>
  <si>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</si>
  <si>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</si>
  <si>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</si>
  <si>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</si>
  <si>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</si>
  <si>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</si>
  <si>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</si>
  <si>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</si>
  <si>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</si>
  <si>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</si>
  <si>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</si>
  <si>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</si>
  <si>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</si>
  <si>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</si>
  <si>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</si>
  <si>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</si>
  <si>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</si>
  <si>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</si>
  <si>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</si>
  <si>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</si>
  <si>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</si>
  <si>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</si>
  <si>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</si>
  <si>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</si>
  <si>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</si>
  <si>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</si>
  <si>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</si>
  <si>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</si>
  <si>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</si>
  <si>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</si>
  <si>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</si>
  <si>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</si>
  <si>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</si>
  <si>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</si>
  <si>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</si>
  <si>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</si>
  <si>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</si>
  <si>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</si>
  <si>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</si>
  <si>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</si>
  <si>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</si>
  <si>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</si>
  <si>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</si>
  <si>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</si>
  <si>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</si>
  <si>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</si>
  <si>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</si>
  <si>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</si>
  <si>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</si>
  <si>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</si>
  <si>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</si>
  <si>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</si>
  <si>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</si>
  <si>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</si>
  <si>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</si>
  <si>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</si>
  <si>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</si>
  <si>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</si>
  <si>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</si>
  <si>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</si>
  <si>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</si>
  <si>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</si>
  <si>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</si>
  <si>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</si>
  <si>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</si>
  <si>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</si>
  <si>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</si>
  <si>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</si>
  <si>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</si>
  <si>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</si>
  <si>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</si>
  <si>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</si>
  <si>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</si>
  <si>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</si>
  <si>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</si>
  <si>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</si>
  <si>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</si>
  <si>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</si>
  <si>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</si>
  <si>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</si>
  <si>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</si>
  <si>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</si>
  <si>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</si>
  <si>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</si>
  <si>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</si>
  <si>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</si>
  <si>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</si>
  <si>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</si>
  <si>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</si>
  <si>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</si>
  <si>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</si>
  <si>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</si>
  <si>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</si>
  <si>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</si>
  <si>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</si>
  <si>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</si>
  <si>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</si>
  <si>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</si>
  <si>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</si>
  <si>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</si>
  <si>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</si>
  <si>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</si>
  <si>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</si>
  <si>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</si>
  <si>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</si>
  <si>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</si>
  <si>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</si>
  <si>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</si>
  <si>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</si>
  <si>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</si>
  <si>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</si>
  <si>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</si>
  <si>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</si>
  <si>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</si>
  <si>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</si>
  <si>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</si>
  <si>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</si>
  <si>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</si>
  <si>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</si>
  <si>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</si>
  <si>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</si>
  <si>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</si>
  <si>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</si>
  <si>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</si>
  <si>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</si>
  <si>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</si>
  <si>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</si>
  <si>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</si>
  <si>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</si>
  <si>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</si>
  <si>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</si>
  <si>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</si>
  <si>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</si>
  <si>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</si>
  <si>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</si>
  <si>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</si>
  <si>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</si>
  <si>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</si>
  <si>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</si>
  <si>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</si>
  <si>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</si>
  <si>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</si>
  <si>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</si>
  <si>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</si>
  <si>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</si>
  <si>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</si>
  <si>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</si>
  <si>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</si>
  <si>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</si>
  <si>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</si>
  <si>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</si>
  <si>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</si>
  <si>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</si>
  <si>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</si>
  <si>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</si>
  <si>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</si>
  <si>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</si>
  <si>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</si>
  <si>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</si>
  <si>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</si>
  <si>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</si>
  <si>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</si>
  <si>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</si>
  <si>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</si>
  <si>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</si>
  <si>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</si>
  <si>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</si>
  <si>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</si>
  <si>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</si>
  <si>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</si>
  <si>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</si>
  <si>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</si>
  <si>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</si>
  <si>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</si>
  <si>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</si>
  <si>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</si>
  <si>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</si>
  <si>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</si>
  <si>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</si>
  <si>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</si>
  <si>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</si>
  <si>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</si>
  <si>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</si>
  <si>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</si>
  <si>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</si>
  <si>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</si>
  <si>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</si>
  <si>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</si>
  <si>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</si>
  <si>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</si>
  <si>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</si>
  <si>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</si>
  <si>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</si>
  <si>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</si>
  <si>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</si>
  <si>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</si>
  <si>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</si>
  <si>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</si>
  <si>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</si>
  <si>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</si>
  <si>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</si>
  <si>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</si>
  <si>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</si>
  <si>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</si>
  <si>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</si>
  <si>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</si>
  <si>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</si>
  <si>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</si>
  <si>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</si>
  <si>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</si>
  <si>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</si>
  <si>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</si>
  <si>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</si>
  <si>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</si>
  <si>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</si>
  <si>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</si>
  <si>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</si>
  <si>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</si>
  <si>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</si>
  <si>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</si>
  <si>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</si>
  <si>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</si>
  <si>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</si>
  <si>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</si>
  <si>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</si>
  <si>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</si>
  <si>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</si>
  <si>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</si>
  <si>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</si>
  <si>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</si>
  <si>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</si>
  <si>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</si>
  <si>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</si>
  <si>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</si>
  <si>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</si>
  <si>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</si>
  <si>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</si>
  <si>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</si>
  <si>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</si>
  <si>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</si>
  <si>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</si>
  <si>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</si>
  <si>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</si>
  <si>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</si>
  <si>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</si>
  <si>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</si>
  <si>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</si>
  <si>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</si>
  <si>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</si>
  <si>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</si>
  <si>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</si>
  <si>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</si>
  <si>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</si>
  <si>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</si>
  <si>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</si>
  <si>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</si>
  <si>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</si>
  <si>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</si>
  <si>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</si>
  <si>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</si>
  <si>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</si>
  <si>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</si>
  <si>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</si>
  <si>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</si>
  <si>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</si>
  <si>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</si>
  <si>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</si>
  <si>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</si>
  <si>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</si>
  <si>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</si>
  <si>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</si>
  <si>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</si>
  <si>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</si>
  <si>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</si>
  <si>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</si>
  <si>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</si>
  <si>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</si>
  <si>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</si>
  <si>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</si>
  <si>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</si>
  <si>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</si>
  <si>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</si>
  <si>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</si>
  <si>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</si>
  <si>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</si>
  <si>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</si>
  <si>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</si>
  <si>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</si>
  <si>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</si>
  <si>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</si>
  <si>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</si>
  <si>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</si>
  <si>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</si>
  <si>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</si>
  <si>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</si>
  <si>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</si>
  <si>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</si>
  <si>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</si>
  <si>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</si>
  <si>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</si>
  <si>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</si>
  <si>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</si>
  <si>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</si>
  <si>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</si>
  <si>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</si>
  <si>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</si>
  <si>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</si>
  <si>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</si>
  <si>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</si>
  <si>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</si>
  <si>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</si>
  <si>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</si>
  <si>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</si>
  <si>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</si>
  <si>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</si>
  <si>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</si>
  <si>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</si>
  <si>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</si>
  <si>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</si>
  <si>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</si>
  <si>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</si>
  <si>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</si>
  <si>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</si>
  <si>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</si>
  <si>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</si>
  <si>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</si>
  <si>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</si>
  <si>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</si>
  <si>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</si>
  <si>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</si>
  <si>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</si>
  <si>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</si>
  <si>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</si>
  <si>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</si>
  <si>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</si>
  <si>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</si>
  <si>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</si>
  <si>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</si>
  <si>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</si>
  <si>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</si>
  <si>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</si>
  <si>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</si>
  <si>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</si>
  <si>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</si>
  <si>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</si>
  <si>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</si>
  <si>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</si>
  <si>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</si>
  <si>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</si>
  <si>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</si>
  <si>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</si>
  <si>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</si>
  <si>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</si>
  <si>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</si>
  <si>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</si>
  <si>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</si>
  <si>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</si>
  <si>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</si>
  <si>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</si>
  <si>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</si>
  <si>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</si>
  <si>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</si>
  <si>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</si>
  <si>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</si>
  <si>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</si>
  <si>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</si>
  <si>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</si>
  <si>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</si>
  <si>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</si>
  <si>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</si>
  <si>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</si>
  <si>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</si>
  <si>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</si>
  <si>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</si>
  <si>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</si>
  <si>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</si>
  <si>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</si>
  <si>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</si>
  <si>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</si>
  <si>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</si>
  <si>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</si>
  <si>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</si>
  <si>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</si>
  <si>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</si>
  <si>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</si>
  <si>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</si>
  <si>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</si>
  <si>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</si>
  <si>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</si>
  <si>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</si>
  <si>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</si>
  <si>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</si>
  <si>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</si>
  <si>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</si>
  <si>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</si>
  <si>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</si>
  <si>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</si>
  <si>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</si>
  <si>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</si>
  <si>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</si>
  <si>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</si>
  <si>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</si>
  <si>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</si>
  <si>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</si>
  <si>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</si>
  <si>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</si>
  <si>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</si>
  <si>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</si>
  <si>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</si>
  <si>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</si>
  <si>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</si>
  <si>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</si>
  <si>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</si>
  <si>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</si>
  <si>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</si>
  <si>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</si>
  <si>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</si>
  <si>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</si>
  <si>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</si>
  <si>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</si>
  <si>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</si>
  <si>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</si>
  <si>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</si>
  <si>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</si>
  <si>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</si>
  <si>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</si>
  <si>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</si>
  <si>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</si>
  <si>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</si>
  <si>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</si>
  <si>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</si>
  <si>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</si>
  <si>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</si>
  <si>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</si>
  <si>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</si>
  <si>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</si>
  <si>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</si>
  <si>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</si>
  <si>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</si>
  <si>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</si>
  <si>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</si>
  <si>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</si>
  <si>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</si>
  <si>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</si>
  <si>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</si>
  <si>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</si>
  <si>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</si>
  <si>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</si>
  <si>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</si>
  <si>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</si>
  <si>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</si>
  <si>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</si>
  <si>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</si>
  <si>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</si>
  <si>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</si>
  <si>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</si>
  <si>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</si>
  <si>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</si>
  <si>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</si>
  <si>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</si>
  <si>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</si>
  <si>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</si>
  <si>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</si>
  <si>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</si>
  <si>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</si>
  <si>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</si>
  <si>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</si>
  <si>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</si>
  <si>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</si>
  <si>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</si>
  <si>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</si>
  <si>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</si>
  <si>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</si>
  <si>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</si>
  <si>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</si>
  <si>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</si>
  <si>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</si>
  <si>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</si>
  <si>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</si>
  <si>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</si>
  <si>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</si>
  <si>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</si>
  <si>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</si>
  <si>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</si>
  <si>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</si>
  <si>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</si>
  <si>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</si>
  <si>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</si>
  <si>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</si>
  <si>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</si>
  <si>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</si>
  <si>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</si>
  <si>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</si>
  <si>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</si>
  <si>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</si>
  <si>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</si>
  <si>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</si>
  <si>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</si>
  <si>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</si>
  <si>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</si>
  <si>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</si>
  <si>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</si>
  <si>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</si>
  <si>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</si>
  <si>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</si>
  <si>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</si>
  <si>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</si>
  <si>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</si>
  <si>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</si>
  <si>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</si>
  <si>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</si>
  <si>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</si>
  <si>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</si>
  <si>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</si>
  <si>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</si>
  <si>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</si>
  <si>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</si>
  <si>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</si>
  <si>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</si>
  <si>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</si>
  <si>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</si>
  <si>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</si>
  <si>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</si>
  <si>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</si>
  <si>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</si>
  <si>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</si>
  <si>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</si>
  <si>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</si>
  <si>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</si>
  <si>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</si>
  <si>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</si>
  <si>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</si>
  <si>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</si>
  <si>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</si>
  <si>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</si>
  <si>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</si>
  <si>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</si>
  <si>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</si>
  <si>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</si>
  <si>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</si>
  <si>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</si>
  <si>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</si>
  <si>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</si>
  <si>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</si>
  <si>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</si>
  <si>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</si>
  <si>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</si>
  <si>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</si>
  <si>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</si>
  <si>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</si>
  <si>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</si>
  <si>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</si>
  <si>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</si>
  <si>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</si>
  <si>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</si>
  <si>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</si>
  <si>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</si>
  <si>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</si>
  <si>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</si>
  <si>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</si>
  <si>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</si>
  <si>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</si>
  <si>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</si>
  <si>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</si>
  <si>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</si>
  <si>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</si>
  <si>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</si>
  <si>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</si>
  <si>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</si>
  <si>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</si>
  <si>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</si>
  <si>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</si>
  <si>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</si>
  <si>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</si>
  <si>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</si>
  <si>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</si>
  <si>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</si>
  <si>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</si>
  <si>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</si>
  <si>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</si>
  <si>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</si>
  <si>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</si>
  <si>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</si>
  <si>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</si>
  <si>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</si>
  <si>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</si>
  <si>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</si>
  <si>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</si>
  <si>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</si>
  <si>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</si>
  <si>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</si>
  <si>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</si>
  <si>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</si>
  <si>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</si>
  <si>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</si>
  <si>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</si>
  <si>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</si>
  <si>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</si>
  <si>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</si>
  <si>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</si>
  <si>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</si>
  <si>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</si>
  <si>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</si>
  <si>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</si>
  <si>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</si>
  <si>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</si>
  <si>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</si>
  <si>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</si>
  <si>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</si>
  <si>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</si>
  <si>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</si>
  <si>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</si>
  <si>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</si>
  <si>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</si>
  <si>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</si>
  <si>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</si>
  <si>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</si>
  <si>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</si>
  <si>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</si>
  <si>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</si>
  <si>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</si>
  <si>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</si>
  <si>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</si>
  <si>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</si>
  <si>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</si>
  <si>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</si>
  <si>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</si>
  <si>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</si>
  <si>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</si>
  <si>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</si>
  <si>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</si>
  <si>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</si>
  <si>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</si>
  <si>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</si>
  <si>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</si>
  <si>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</si>
  <si>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</si>
  <si>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</si>
  <si>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</si>
  <si>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</si>
  <si>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</si>
  <si>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</si>
  <si>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</si>
  <si>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</si>
  <si>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</si>
  <si>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</si>
  <si>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</si>
  <si>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</si>
  <si>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</si>
  <si>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</si>
  <si>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</si>
  <si>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</si>
  <si>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</si>
  <si>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</si>
  <si>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</si>
  <si>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</si>
  <si>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</si>
  <si>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</si>
  <si>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</si>
  <si>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</si>
  <si>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</si>
  <si>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</si>
  <si>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</si>
  <si>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</si>
  <si>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</si>
  <si>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</si>
  <si>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</si>
  <si>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</si>
  <si>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</si>
  <si>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</si>
  <si>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</si>
  <si>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</si>
  <si>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</si>
  <si>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</si>
  <si>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</si>
  <si>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</si>
  <si>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</si>
  <si>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</si>
  <si>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</si>
  <si>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</si>
  <si>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</si>
  <si>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</si>
  <si>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</si>
  <si>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</si>
  <si>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</si>
  <si>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</si>
  <si>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</si>
  <si>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</si>
  <si>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</si>
  <si>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</si>
  <si>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</si>
  <si>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</si>
  <si>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</si>
  <si>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</si>
  <si>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</si>
  <si>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</si>
  <si>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</si>
  <si>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</si>
  <si>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</si>
  <si>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</si>
  <si>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</si>
  <si>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</si>
  <si>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</si>
  <si>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</si>
  <si>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</si>
  <si>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</si>
  <si>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</si>
  <si>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</si>
  <si>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</si>
  <si>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</si>
  <si>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</si>
  <si>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</si>
  <si>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</si>
  <si>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</si>
  <si>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</si>
  <si>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</si>
  <si>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</si>
  <si>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</si>
  <si>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</si>
  <si>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</si>
  <si>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</si>
  <si>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</si>
  <si>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</si>
  <si>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</si>
  <si>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</si>
  <si>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</si>
  <si>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</si>
  <si>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</si>
  <si>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</si>
  <si>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</si>
  <si>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</si>
  <si>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</si>
  <si>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</si>
  <si>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</si>
  <si>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</si>
  <si>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</si>
  <si>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</si>
  <si>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</si>
  <si>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</si>
  <si>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</si>
  <si>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</si>
  <si>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</si>
  <si>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</si>
  <si>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</si>
  <si>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</si>
  <si>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</si>
  <si>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</si>
  <si>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</si>
  <si>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</si>
  <si>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</si>
  <si>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</si>
  <si>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</si>
  <si>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</si>
  <si>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</si>
  <si>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</si>
  <si>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</si>
  <si>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</si>
  <si>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</si>
  <si>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</si>
  <si>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</si>
  <si>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</si>
  <si>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</si>
  <si>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</si>
  <si>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</si>
  <si>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</si>
  <si>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</si>
  <si>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</si>
  <si>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</si>
  <si>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</si>
  <si>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</si>
  <si>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</si>
  <si>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</si>
  <si>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</si>
  <si>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</si>
  <si>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</si>
  <si>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</si>
  <si>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</si>
  <si>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</si>
  <si>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</si>
  <si>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</si>
  <si>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</si>
  <si>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</si>
  <si>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</si>
  <si>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</si>
  <si>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</si>
  <si>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</si>
  <si>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</si>
  <si>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</si>
  <si>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</si>
  <si>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</si>
  <si>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</si>
  <si>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</si>
  <si>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</si>
  <si>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</si>
  <si>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</si>
  <si>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</si>
  <si>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</si>
  <si>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</si>
  <si>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</si>
  <si>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</si>
  <si>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</si>
  <si>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</si>
  <si>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</si>
  <si>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</si>
  <si>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</si>
  <si>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</si>
  <si>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</si>
  <si>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</si>
  <si>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</si>
  <si>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</si>
  <si>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</si>
  <si>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</si>
  <si>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</si>
  <si>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</si>
  <si>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</si>
  <si>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</si>
  <si>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</si>
  <si>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</si>
  <si>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</si>
  <si>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</si>
  <si>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</si>
  <si>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</si>
  <si>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</si>
  <si>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</si>
  <si>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</si>
  <si>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</si>
  <si>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</si>
  <si>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</si>
  <si>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</si>
  <si>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</si>
  <si>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</si>
  <si>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</si>
  <si>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</si>
  <si>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</si>
  <si>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</si>
  <si>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</si>
  <si>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</si>
  <si>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</si>
  <si>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</si>
  <si>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</si>
  <si>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</si>
  <si>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</si>
  <si>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</si>
  <si>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</si>
  <si>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</si>
  <si>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</si>
  <si>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</si>
  <si>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</si>
  <si>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</si>
  <si>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</si>
  <si>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</si>
  <si>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</si>
  <si>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</si>
  <si>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</si>
  <si>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</si>
  <si>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</si>
  <si>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</si>
  <si>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</si>
  <si>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</si>
  <si>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</si>
  <si>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</si>
  <si>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</si>
  <si>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</si>
  <si>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</si>
  <si>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</si>
  <si>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</si>
  <si>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</si>
  <si>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</si>
  <si>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</si>
  <si>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</si>
  <si>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</si>
  <si>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</si>
  <si>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</si>
  <si>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</si>
  <si>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</si>
  <si>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</si>
  <si>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</si>
  <si>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</si>
  <si>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</si>
  <si>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</si>
  <si>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</si>
  <si>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</si>
  <si>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</si>
  <si>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</si>
  <si>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</si>
  <si>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</si>
  <si>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</si>
  <si>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</si>
  <si>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</si>
  <si>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</si>
  <si>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</si>
  <si>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</si>
  <si>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</si>
  <si>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</si>
  <si>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</si>
  <si>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</si>
  <si>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</si>
  <si>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</si>
  <si>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</si>
  <si>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</si>
  <si>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</si>
  <si>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</si>
  <si>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</si>
  <si>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</si>
  <si>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</si>
  <si>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</si>
  <si>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</si>
  <si>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</si>
  <si>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</si>
  <si>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</si>
  <si>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</si>
  <si>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</si>
  <si>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</si>
  <si>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</si>
  <si>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</si>
  <si>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</si>
  <si>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</si>
  <si>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</si>
  <si>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</si>
  <si>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</si>
  <si>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</si>
  <si>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</si>
  <si>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</si>
  <si>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</si>
  <si>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</si>
  <si>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</si>
  <si>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</si>
  <si>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</si>
  <si>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</si>
  <si>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</si>
  <si>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</si>
  <si>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</si>
  <si>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</si>
  <si>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</si>
  <si>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</si>
  <si>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</si>
  <si>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</si>
  <si>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</si>
  <si>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</si>
  <si>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</si>
  <si>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</si>
  <si>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</si>
  <si>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</si>
  <si>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</si>
  <si>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</si>
  <si>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</si>
  <si>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</si>
  <si>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</si>
  <si>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</si>
  <si>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</si>
  <si>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</si>
  <si>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</si>
  <si>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</si>
  <si>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</si>
  <si>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</si>
  <si>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</si>
  <si>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</si>
  <si>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</si>
  <si>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</si>
  <si>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</si>
  <si>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</si>
  <si>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</si>
  <si>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</si>
  <si>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</si>
  <si>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</si>
  <si>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</si>
  <si>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</si>
  <si>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</si>
  <si>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</si>
  <si>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</si>
  <si>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</si>
  <si>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</si>
  <si>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</si>
  <si>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</si>
  <si>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</si>
  <si>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</si>
  <si>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</si>
  <si>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</si>
  <si>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</si>
  <si>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</si>
  <si>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</si>
  <si>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</si>
  <si>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</si>
  <si>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</si>
  <si>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</si>
  <si>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</si>
  <si>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</si>
  <si>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</si>
  <si>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</si>
  <si>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</si>
  <si>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</si>
  <si>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</si>
  <si>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</si>
  <si>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</si>
  <si>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</si>
  <si>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</si>
  <si>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</si>
  <si>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</si>
  <si>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</si>
  <si>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</si>
  <si>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</si>
  <si>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</si>
  <si>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</si>
  <si>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</si>
  <si>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</si>
  <si>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</si>
  <si>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</si>
  <si>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</si>
  <si>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</si>
  <si>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</si>
  <si>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</si>
  <si>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</si>
  <si>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</si>
  <si>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</si>
  <si>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</si>
  <si>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</si>
  <si>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</si>
  <si>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</si>
  <si>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</si>
  <si>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</si>
  <si>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</si>
  <si>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</si>
  <si>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</si>
  <si>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</si>
  <si>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</si>
  <si>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</si>
  <si>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</si>
  <si>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</si>
  <si>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</si>
  <si>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</si>
  <si>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</si>
  <si>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</si>
  <si>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</si>
  <si>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</si>
  <si>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</si>
  <si>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</si>
  <si>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</si>
  <si>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</si>
  <si>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</si>
  <si>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</si>
  <si>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</si>
  <si>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</si>
  <si>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</si>
  <si>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</si>
  <si>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</si>
  <si>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</si>
  <si>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</si>
  <si>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</si>
  <si>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</si>
  <si>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</si>
  <si>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</si>
  <si>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</si>
  <si>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</si>
  <si>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</si>
  <si>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</si>
  <si>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</si>
  <si>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</si>
  <si>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</si>
  <si>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</si>
  <si>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</si>
  <si>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</si>
  <si>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</si>
  <si>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</si>
  <si>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</si>
  <si>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</si>
  <si>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</si>
  <si>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</si>
  <si>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</si>
  <si>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</si>
  <si>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</si>
  <si>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</si>
  <si>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</si>
  <si>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</si>
  <si>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</si>
  <si>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</si>
  <si>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</si>
  <si>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</si>
  <si>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</si>
  <si>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</si>
  <si>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</si>
  <si>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</si>
  <si>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</si>
  <si>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</si>
  <si>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</si>
  <si>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</si>
  <si>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</si>
  <si>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</si>
  <si>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</si>
  <si>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</si>
  <si>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</si>
  <si>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</si>
  <si>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</si>
  <si>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</si>
  <si>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</si>
  <si>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</si>
  <si>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</si>
  <si>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</si>
  <si>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</si>
  <si>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</si>
  <si>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</si>
  <si>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</si>
  <si>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</si>
  <si>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</si>
  <si>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</si>
  <si>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</si>
  <si>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</si>
  <si>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</si>
  <si>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</si>
  <si>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</si>
  <si>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</si>
  <si>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</si>
  <si>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</si>
  <si>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</si>
  <si>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</si>
  <si>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</si>
  <si>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</si>
  <si>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</si>
  <si>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</si>
  <si>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</si>
  <si>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</si>
  <si>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</si>
  <si>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</si>
  <si>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</si>
  <si>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</si>
  <si>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</si>
  <si>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</si>
  <si>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</si>
  <si>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</si>
  <si>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</si>
  <si>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</si>
  <si>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</si>
  <si>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</si>
  <si>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</si>
  <si>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</si>
  <si>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</si>
  <si>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</si>
  <si>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</si>
  <si>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</si>
  <si>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</si>
  <si>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</si>
  <si>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</si>
  <si>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</si>
  <si>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</si>
  <si>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</si>
  <si>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</si>
  <si>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</si>
  <si>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</si>
  <si>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</si>
  <si>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</si>
  <si>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</si>
  <si>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</si>
  <si>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</si>
  <si>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</si>
  <si>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</si>
  <si>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</si>
  <si>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</si>
  <si>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</si>
  <si>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</si>
  <si>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</si>
  <si>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</si>
  <si>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</si>
  <si>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</si>
  <si>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</si>
  <si>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</si>
  <si>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</si>
  <si>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</si>
  <si>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</si>
  <si>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</si>
  <si>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</si>
  <si>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</si>
  <si>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</si>
  <si>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</si>
  <si>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</si>
  <si>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</si>
  <si>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</si>
  <si>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</si>
  <si>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</si>
  <si>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</si>
  <si>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</si>
  <si>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</si>
  <si>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</si>
  <si>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</si>
  <si>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</si>
  <si>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</si>
  <si>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</si>
  <si>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</si>
  <si>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</si>
  <si>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</si>
  <si>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</si>
  <si>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</si>
  <si>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</si>
  <si>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</si>
  <si>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</si>
  <si>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</si>
  <si>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</si>
  <si>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</si>
  <si>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</si>
  <si>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</si>
  <si>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</si>
  <si>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</si>
  <si>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</si>
  <si>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</si>
  <si>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</si>
  <si>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</si>
  <si>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</si>
  <si>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</si>
  <si>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</si>
  <si>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</si>
  <si>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</si>
  <si>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</si>
  <si>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</si>
  <si>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</si>
  <si>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</si>
  <si>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</si>
  <si>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</si>
  <si>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</si>
  <si>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</si>
  <si>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</si>
  <si>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</si>
  <si>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</si>
  <si>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</si>
  <si>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</si>
  <si>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</si>
  <si>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</si>
  <si>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</si>
  <si>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</si>
  <si>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</si>
  <si>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</si>
  <si>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</si>
  <si>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</si>
  <si>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</si>
  <si>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</si>
  <si>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</si>
  <si>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</si>
  <si>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</si>
  <si>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</si>
  <si>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</si>
  <si>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</si>
  <si>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</si>
  <si>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</si>
  <si>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</si>
  <si>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</si>
  <si>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</si>
  <si>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</si>
  <si>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</si>
  <si>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</si>
  <si>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</si>
  <si>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</si>
  <si>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</si>
  <si>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</si>
  <si>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</si>
  <si>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</si>
  <si>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</si>
  <si>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</si>
  <si>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</si>
  <si>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</si>
  <si>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</si>
  <si>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</si>
  <si>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</si>
  <si>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</si>
  <si>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</si>
  <si>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</si>
  <si>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</si>
  <si>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</si>
  <si>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</si>
  <si>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</si>
  <si>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</si>
  <si>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</si>
  <si>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</si>
  <si>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</si>
  <si>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</si>
  <si>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</si>
  <si>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</si>
  <si>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</si>
  <si>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</si>
  <si>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</si>
  <si>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</si>
  <si>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</si>
  <si>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</si>
  <si>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</si>
  <si>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</si>
  <si>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</si>
  <si>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</si>
  <si>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</si>
  <si>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</si>
  <si>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</si>
  <si>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</si>
  <si>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</si>
  <si>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</si>
  <si>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</si>
  <si>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</si>
  <si>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</si>
  <si>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</si>
  <si>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</si>
  <si>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</si>
  <si>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</si>
  <si>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</si>
  <si>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</si>
  <si>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</si>
  <si>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</si>
  <si>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</si>
  <si>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</si>
  <si>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</si>
  <si>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</si>
  <si>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</si>
  <si>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</si>
  <si>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</si>
  <si>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</si>
  <si>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</si>
  <si>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</si>
  <si>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</si>
  <si>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</si>
  <si>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</si>
  <si>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</si>
  <si>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</si>
  <si>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</si>
  <si>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</si>
  <si>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</si>
  <si>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</si>
  <si>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</si>
  <si>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</si>
  <si>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</si>
  <si>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</si>
  <si>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</si>
  <si>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</si>
  <si>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</si>
  <si>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</si>
  <si>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</si>
  <si>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</si>
  <si>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</si>
  <si>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</si>
  <si>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</si>
  <si>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</si>
  <si>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</si>
  <si>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</si>
  <si>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</si>
  <si>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</si>
  <si>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</si>
  <si>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</si>
  <si>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</si>
  <si>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</si>
  <si>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</si>
  <si>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</si>
  <si>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</si>
  <si>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</si>
  <si>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</si>
  <si>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</si>
  <si>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</si>
  <si>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</si>
  <si>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</si>
  <si>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</si>
  <si>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</si>
  <si>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</si>
  <si>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</si>
  <si>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</si>
  <si>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</si>
  <si>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</si>
  <si>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</si>
  <si>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</si>
  <si>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</si>
  <si>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</si>
  <si>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</si>
  <si>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</si>
  <si>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</si>
  <si>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</si>
  <si>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</si>
  <si>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</si>
  <si>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</si>
  <si>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</si>
  <si>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</si>
  <si>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</si>
  <si>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</si>
  <si>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</si>
  <si>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</si>
  <si>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</si>
  <si>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</si>
  <si>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</si>
  <si>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</si>
  <si>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</si>
  <si>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</si>
  <si>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</si>
  <si>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</si>
  <si>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</si>
  <si>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</si>
  <si>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</si>
  <si>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</si>
  <si>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</si>
  <si>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</si>
  <si>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</si>
  <si>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</si>
  <si>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</si>
  <si>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</si>
  <si>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</si>
  <si>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</si>
  <si>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</si>
  <si>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</si>
  <si>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</si>
  <si>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</si>
  <si>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</si>
  <si>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</si>
  <si>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</si>
  <si>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</si>
  <si>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</si>
  <si>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</si>
  <si>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</si>
  <si>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</si>
  <si>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</si>
  <si>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</si>
  <si>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</si>
  <si>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</si>
  <si>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</si>
  <si>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</si>
  <si>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</si>
  <si>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</si>
  <si>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</si>
  <si>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</si>
  <si>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</si>
  <si>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</si>
  <si>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</si>
  <si>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</si>
  <si>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</si>
  <si>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</si>
  <si>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</si>
  <si>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</si>
  <si>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</si>
  <si>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</si>
  <si>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</si>
  <si>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</si>
  <si>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</si>
  <si>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</si>
  <si>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</si>
  <si>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</si>
  <si>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</si>
  <si>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</si>
  <si>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</si>
  <si>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</si>
  <si>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</si>
  <si>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</si>
  <si>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</si>
  <si>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</si>
  <si>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</si>
  <si>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</si>
  <si>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</si>
  <si>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</si>
  <si>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</si>
  <si>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</si>
  <si>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</si>
  <si>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</si>
  <si>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</si>
  <si>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</si>
  <si>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</si>
  <si>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</si>
  <si>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</si>
  <si>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</si>
  <si>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</si>
  <si>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</si>
  <si>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</si>
  <si>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</si>
  <si>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</si>
  <si>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</si>
  <si>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</si>
  <si>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</si>
  <si>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</si>
  <si>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</si>
  <si>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</si>
  <si>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</si>
  <si>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</si>
  <si>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</si>
  <si>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</si>
  <si>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</si>
  <si>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</si>
  <si>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</si>
  <si>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</si>
  <si>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</si>
  <si>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</si>
  <si>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</si>
  <si>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</si>
  <si>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</si>
  <si>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</si>
  <si>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</si>
  <si>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</si>
  <si>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</si>
  <si>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</si>
  <si>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</si>
  <si>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</si>
  <si>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</si>
  <si>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</si>
  <si>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</si>
  <si>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</si>
  <si>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</si>
  <si>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</si>
  <si>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</si>
  <si>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</si>
  <si>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</si>
  <si>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</si>
  <si>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</si>
  <si>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</si>
  <si>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</si>
  <si>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</si>
  <si>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</si>
  <si>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</si>
  <si>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</si>
  <si>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</si>
  <si>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</si>
  <si>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</si>
  <si>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</si>
  <si>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</si>
  <si>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</si>
  <si>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</si>
  <si>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</si>
  <si>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</si>
  <si>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</si>
  <si>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</si>
  <si>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</si>
  <si>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</si>
  <si>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</si>
  <si>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</si>
  <si>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</si>
  <si>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</si>
  <si>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</si>
  <si>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</si>
  <si>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</si>
  <si>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</si>
  <si>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</si>
  <si>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</si>
  <si>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</si>
  <si>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</si>
  <si>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</si>
  <si>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</si>
  <si>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</si>
  <si>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</si>
  <si>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</si>
  <si>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</si>
  <si>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</si>
  <si>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</si>
  <si>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</si>
  <si>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</si>
  <si>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</si>
  <si>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</si>
  <si>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</si>
  <si>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</si>
  <si>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</si>
  <si>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</si>
  <si>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</si>
  <si>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</si>
  <si>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</si>
  <si>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</si>
  <si>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</si>
  <si>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</si>
  <si>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</si>
  <si>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</si>
  <si>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</si>
  <si>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</si>
  <si>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</si>
  <si>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</si>
  <si>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</si>
  <si>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</si>
  <si>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</si>
  <si>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</si>
  <si>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</si>
  <si>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</si>
  <si>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</si>
  <si>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</si>
  <si>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</si>
  <si>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</si>
  <si>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</si>
  <si>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</si>
  <si>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</si>
  <si>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</si>
  <si>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</si>
  <si>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</si>
  <si>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</si>
  <si>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</si>
  <si>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</si>
  <si>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</si>
  <si>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</si>
  <si>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</si>
  <si>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</si>
  <si>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</si>
  <si>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</si>
  <si>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</si>
  <si>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</si>
  <si>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</si>
  <si>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</si>
  <si>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</si>
  <si>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</si>
  <si>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</si>
  <si>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</si>
  <si>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</si>
  <si>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</si>
  <si>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</si>
  <si>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</si>
  <si>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</si>
  <si>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</si>
  <si>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</si>
  <si>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</si>
  <si>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</si>
  <si>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</si>
  <si>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</si>
  <si>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</si>
  <si>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</si>
  <si>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</si>
  <si>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</si>
  <si>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</si>
  <si>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</si>
  <si>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</si>
  <si>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</si>
  <si>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</si>
  <si>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</si>
  <si>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</si>
  <si>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</si>
  <si>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</si>
  <si>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</si>
  <si>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</si>
  <si>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</si>
  <si>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</si>
  <si>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</si>
  <si>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</si>
  <si>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</si>
  <si>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</si>
  <si>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</si>
  <si>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</si>
  <si>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</si>
  <si>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</si>
  <si>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</si>
  <si>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</si>
  <si>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</si>
  <si>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</si>
  <si>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</si>
  <si>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</si>
  <si>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</si>
  <si>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</si>
  <si>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</si>
  <si>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</si>
  <si>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</si>
  <si>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</si>
  <si>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</si>
  <si>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</si>
  <si>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</si>
  <si>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</si>
  <si>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</si>
  <si>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</si>
  <si>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</si>
  <si>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</si>
  <si>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</si>
  <si>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</si>
  <si>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</si>
  <si>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</si>
  <si>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</si>
  <si>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</si>
  <si>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</si>
  <si>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</si>
  <si>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</si>
  <si>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</si>
  <si>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</si>
  <si>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</si>
  <si>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</si>
  <si>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</si>
  <si>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</si>
  <si>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</si>
  <si>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</si>
  <si>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</si>
  <si>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</si>
  <si>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</si>
  <si>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</si>
  <si>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</si>
  <si>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</si>
  <si>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</si>
  <si>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</si>
  <si>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</si>
  <si>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</si>
  <si>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</si>
  <si>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</si>
  <si>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</si>
  <si>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</si>
  <si>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</si>
  <si>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</si>
  <si>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</si>
  <si>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</si>
  <si>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</si>
  <si>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</si>
  <si>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</si>
  <si>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</si>
  <si>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</si>
  <si>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</si>
  <si>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</si>
  <si>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</si>
  <si>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</si>
  <si>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</si>
  <si>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</si>
  <si>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</si>
  <si>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</si>
  <si>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</si>
  <si>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</si>
  <si>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</si>
  <si>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</si>
  <si>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</si>
  <si>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</si>
  <si>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</si>
  <si>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</si>
  <si>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</si>
  <si>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</si>
  <si>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</si>
  <si>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</si>
  <si>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</si>
  <si>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</si>
  <si>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</si>
  <si>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</si>
  <si>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</si>
  <si>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</si>
  <si>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</si>
  <si>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</si>
  <si>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</si>
  <si>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</si>
  <si>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</si>
  <si>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</si>
  <si>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</si>
  <si>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</si>
  <si>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</si>
  <si>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</si>
  <si>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</si>
  <si>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</si>
  <si>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</si>
  <si>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</si>
  <si>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</si>
  <si>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</si>
  <si>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</si>
  <si>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</si>
  <si>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</si>
  <si>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</si>
  <si>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</si>
  <si>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</si>
  <si>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</si>
  <si>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</si>
  <si>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</si>
  <si>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</si>
  <si>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</si>
  <si>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</si>
  <si>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</si>
  <si>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</si>
  <si>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</si>
  <si>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</si>
  <si>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</si>
  <si>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</si>
  <si>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</si>
  <si>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</si>
  <si>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</si>
  <si>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</si>
  <si>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</si>
  <si>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</si>
  <si>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</si>
  <si>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</si>
  <si>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</si>
  <si>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</si>
  <si>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</si>
  <si>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</si>
  <si>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</si>
  <si>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</si>
  <si>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</si>
  <si>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</si>
  <si>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</si>
  <si>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</si>
  <si>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</si>
  <si>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</si>
  <si>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</si>
  <si>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</si>
  <si>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</si>
  <si>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</si>
  <si>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</si>
  <si>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</si>
  <si>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</si>
  <si>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</si>
  <si>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</si>
  <si>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</si>
  <si>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</si>
  <si>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</si>
  <si>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</si>
  <si>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</si>
  <si>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</si>
  <si>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</si>
  <si>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</si>
  <si>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</si>
  <si>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</si>
  <si>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</si>
  <si>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</si>
  <si>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</si>
  <si>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</si>
  <si>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</si>
  <si>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</si>
  <si>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</si>
  <si>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</si>
  <si>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</si>
  <si>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</si>
  <si>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</si>
  <si>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</si>
  <si>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</si>
  <si>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</si>
  <si>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</si>
  <si>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</si>
  <si>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</si>
  <si>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</si>
  <si>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</si>
  <si>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</si>
  <si>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</si>
  <si>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</si>
  <si>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</si>
  <si>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</si>
  <si>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</si>
  <si>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</si>
  <si>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</si>
  <si>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</si>
  <si>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</si>
  <si>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</si>
  <si>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</si>
  <si>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</si>
  <si>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</si>
  <si>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</si>
  <si>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</si>
  <si>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</si>
  <si>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</si>
  <si>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</si>
  <si>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</si>
  <si>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</si>
  <si>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</si>
  <si>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</si>
  <si>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</si>
  <si>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</si>
  <si>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</si>
  <si>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</si>
  <si>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</si>
  <si>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</si>
  <si>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</si>
  <si>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</si>
  <si>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</si>
  <si>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</si>
  <si>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</si>
  <si>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</si>
  <si>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</si>
  <si>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</si>
  <si>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</si>
  <si>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</si>
  <si>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</si>
  <si>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</si>
  <si>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</si>
  <si>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</si>
  <si>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</si>
  <si>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</si>
  <si>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</si>
  <si>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</si>
  <si>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</si>
  <si>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</si>
  <si>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</si>
  <si>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</si>
  <si>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</si>
  <si>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</si>
  <si>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</si>
  <si>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</si>
  <si>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</si>
  <si>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</si>
  <si>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</si>
  <si>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</si>
  <si>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</si>
  <si>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</si>
  <si>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</si>
  <si>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</si>
  <si>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</si>
  <si>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</si>
  <si>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</si>
  <si>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</si>
  <si>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</si>
  <si>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</si>
  <si>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</si>
  <si>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</si>
  <si>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</si>
  <si>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</si>
  <si>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</si>
  <si>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</si>
  <si>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</si>
  <si>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</si>
  <si>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</si>
  <si>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</si>
  <si>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</si>
  <si>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</si>
  <si>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</si>
  <si>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</si>
  <si>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</si>
  <si>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</si>
  <si>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</si>
  <si>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</si>
  <si>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</si>
  <si>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</si>
  <si>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</si>
  <si>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</si>
  <si>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</si>
  <si>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</si>
  <si>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</si>
  <si>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</si>
  <si>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</si>
  <si>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</si>
  <si>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</si>
  <si>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</si>
  <si>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</si>
  <si>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</si>
  <si>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</si>
  <si>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</si>
  <si>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</si>
  <si>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</si>
  <si>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</si>
  <si>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</si>
  <si>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</si>
  <si>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</si>
  <si>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</si>
  <si>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</si>
  <si>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</si>
  <si>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</si>
  <si>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</si>
  <si>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</si>
  <si>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</si>
  <si>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</si>
  <si>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</si>
  <si>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</si>
  <si>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</si>
  <si>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</si>
  <si>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</si>
  <si>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</si>
  <si>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</si>
  <si>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</si>
  <si>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</si>
  <si>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</si>
  <si>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</si>
  <si>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</si>
  <si>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</si>
  <si>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</si>
  <si>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</si>
  <si>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</si>
  <si>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</si>
  <si>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</si>
  <si>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</si>
  <si>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</si>
  <si>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</si>
  <si>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</si>
  <si>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</si>
  <si>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</si>
  <si>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</si>
  <si>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</si>
  <si>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</si>
  <si>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</si>
  <si>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</si>
  <si>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</si>
  <si>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</si>
  <si>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</si>
  <si>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</si>
  <si>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</si>
  <si>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</si>
  <si>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</si>
  <si>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</si>
  <si>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</si>
  <si>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</si>
  <si>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</si>
  <si>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</si>
  <si>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</si>
  <si>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</si>
  <si>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</si>
  <si>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</si>
  <si>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</si>
  <si>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</si>
  <si>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</si>
  <si>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</si>
  <si>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</si>
  <si>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</si>
  <si>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</si>
  <si>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</si>
  <si>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</si>
  <si>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</si>
  <si>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</si>
  <si>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</si>
  <si>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</si>
  <si>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</si>
  <si>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</si>
  <si>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</si>
  <si>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</si>
  <si>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</si>
  <si>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</si>
  <si>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</si>
  <si>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</si>
  <si>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</si>
  <si>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</si>
  <si>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</si>
  <si>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</si>
  <si>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</si>
  <si>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</si>
  <si>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</si>
  <si>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</si>
  <si>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</si>
  <si>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</si>
  <si>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</si>
  <si>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</si>
  <si>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</si>
  <si>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</si>
  <si>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</si>
  <si>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</si>
  <si>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</si>
  <si>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</si>
  <si>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</si>
  <si>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</si>
  <si>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</si>
  <si>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</si>
  <si>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</si>
  <si>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</si>
  <si>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</si>
  <si>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</si>
  <si>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</si>
  <si>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</si>
  <si>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</si>
  <si>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</si>
  <si>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</si>
  <si>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</si>
  <si>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</si>
  <si>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</si>
  <si>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</si>
  <si>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</si>
  <si>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</si>
  <si>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</si>
  <si>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</si>
  <si>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</si>
  <si>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</si>
  <si>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</si>
  <si>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</si>
  <si>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</si>
  <si>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</si>
  <si>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</si>
  <si>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</si>
  <si>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</si>
  <si>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</si>
  <si>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</si>
  <si>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</si>
  <si>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</si>
  <si>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</si>
  <si>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</si>
  <si>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</si>
  <si>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</si>
  <si>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</si>
  <si>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</si>
  <si>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</si>
  <si>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</si>
  <si>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</si>
  <si>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</si>
  <si>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</si>
  <si>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</si>
  <si>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</si>
  <si>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</si>
  <si>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</si>
  <si>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</si>
  <si>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</si>
  <si>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</si>
  <si>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</si>
  <si>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</si>
  <si>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</si>
  <si>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</si>
  <si>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</si>
  <si>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</si>
  <si>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</si>
  <si>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</si>
  <si>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</si>
  <si>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</si>
  <si>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</si>
  <si>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</si>
  <si>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</si>
  <si>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</si>
  <si>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</si>
  <si>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</si>
  <si>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</si>
  <si>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</si>
  <si>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</si>
  <si>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</si>
  <si>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</si>
  <si>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</si>
  <si>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</si>
  <si>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</si>
  <si>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</si>
  <si>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</si>
  <si>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</si>
  <si>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</si>
  <si>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</si>
  <si>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</si>
  <si>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</si>
  <si>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</si>
  <si>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</si>
  <si>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</si>
  <si>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</si>
  <si>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</si>
  <si>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</si>
  <si>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</si>
  <si>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</si>
  <si>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</si>
  <si>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</si>
  <si>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</si>
  <si>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</si>
  <si>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</si>
  <si>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</si>
  <si>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</si>
  <si>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</si>
  <si>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</si>
  <si>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</si>
  <si>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</si>
  <si>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</si>
  <si>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</si>
  <si>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</si>
  <si>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</si>
  <si>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</si>
  <si>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</si>
  <si>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</si>
  <si>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</si>
  <si>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</si>
  <si>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</si>
  <si>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</si>
  <si>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</si>
  <si>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</si>
  <si>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</si>
  <si>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</si>
  <si>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</si>
  <si>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</si>
  <si>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</si>
  <si>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</si>
  <si>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</si>
  <si>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</si>
  <si>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</si>
  <si>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</si>
  <si>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</si>
  <si>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</si>
  <si>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</si>
  <si>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</si>
  <si>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</si>
  <si>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</si>
  <si>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</si>
  <si>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</si>
  <si>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</si>
  <si>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</si>
  <si>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</si>
  <si>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</si>
  <si>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</si>
  <si>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</si>
  <si>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</si>
  <si>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</si>
  <si>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</si>
  <si>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</si>
  <si>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</si>
  <si>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</si>
  <si>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</si>
  <si>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</si>
  <si>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</si>
  <si>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</si>
  <si>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</si>
  <si>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</si>
  <si>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</si>
  <si>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</si>
  <si>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</si>
  <si>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</si>
  <si>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</si>
  <si>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</si>
  <si>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</si>
  <si>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</si>
  <si>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</si>
  <si>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</si>
  <si>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</si>
  <si>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</si>
  <si>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</si>
  <si>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</si>
  <si>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</si>
  <si>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</si>
  <si>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</si>
  <si>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</si>
  <si>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</si>
  <si>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</si>
  <si>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</si>
  <si>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</si>
  <si>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</si>
  <si>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</si>
  <si>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</si>
  <si>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</si>
  <si>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</si>
  <si>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</si>
  <si>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</si>
  <si>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</si>
  <si>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</si>
  <si>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</si>
  <si>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</si>
  <si>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</si>
  <si>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</si>
  <si>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</si>
  <si>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</si>
  <si>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</si>
  <si>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</si>
  <si>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</si>
  <si>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</si>
  <si>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</si>
  <si>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</si>
  <si>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</si>
  <si>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</si>
  <si>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</si>
  <si>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</si>
  <si>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</si>
  <si>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</si>
  <si>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</si>
  <si>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</si>
  <si>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</si>
  <si>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</si>
  <si>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</si>
  <si>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</si>
  <si>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</si>
  <si>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</si>
  <si>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</si>
  <si>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</si>
  <si>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</si>
  <si>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</si>
  <si>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</si>
  <si>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</si>
  <si>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</si>
  <si>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</si>
  <si>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</si>
  <si>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</si>
  <si>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</si>
  <si>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</si>
  <si>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</si>
  <si>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</si>
  <si>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</si>
  <si>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</si>
  <si>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</si>
  <si>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</si>
  <si>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</si>
  <si>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</si>
  <si>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</si>
  <si>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</si>
  <si>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</si>
  <si>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</si>
  <si>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</si>
  <si>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</si>
  <si>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</si>
  <si>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</si>
  <si>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</si>
  <si>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</si>
  <si>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</si>
  <si>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</si>
  <si>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</si>
  <si>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</si>
  <si>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</si>
  <si>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</si>
  <si>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</si>
  <si>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</si>
  <si>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</si>
  <si>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</si>
  <si>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</si>
  <si>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</si>
  <si>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</si>
  <si>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</si>
  <si>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</si>
  <si>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</si>
  <si>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</si>
  <si>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</si>
  <si>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</si>
  <si>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</si>
  <si>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</si>
  <si>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</si>
  <si>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</si>
  <si>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</si>
  <si>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</si>
  <si>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</si>
  <si>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</si>
  <si>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</si>
  <si>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</si>
  <si>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</si>
  <si>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</si>
  <si>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</si>
  <si>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</si>
  <si>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</si>
  <si>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</si>
  <si>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</si>
  <si>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</si>
  <si>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</si>
  <si>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</si>
  <si>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</si>
  <si>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</si>
  <si>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</si>
  <si>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</si>
  <si>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</si>
  <si>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</si>
  <si>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</si>
  <si>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</si>
  <si>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</si>
  <si>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</si>
  <si>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</si>
  <si>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</si>
  <si>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</si>
  <si>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</si>
  <si>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</si>
  <si>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</si>
  <si>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</si>
  <si>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</si>
  <si>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</si>
  <si>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</si>
  <si>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</si>
  <si>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</si>
  <si>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</si>
  <si>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</si>
  <si>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</si>
  <si>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</si>
  <si>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</si>
  <si>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</si>
  <si>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</si>
  <si>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</si>
  <si>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</si>
  <si>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</si>
  <si>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</si>
  <si>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</si>
  <si>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</si>
  <si>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</si>
  <si>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</si>
  <si>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</si>
  <si>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</si>
  <si>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</si>
  <si>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</si>
  <si>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</si>
  <si>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</si>
  <si>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</si>
  <si>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</si>
  <si>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</si>
  <si>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</si>
  <si>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</si>
  <si>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</si>
  <si>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</si>
  <si>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</si>
  <si>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</si>
  <si>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</si>
  <si>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</si>
  <si>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</si>
  <si>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</si>
  <si>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</si>
  <si>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</si>
  <si>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</si>
  <si>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</si>
  <si>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</si>
  <si>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</si>
  <si>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</si>
  <si>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</si>
  <si>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</si>
  <si>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</si>
  <si>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</si>
  <si>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</si>
  <si>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</si>
  <si>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</si>
  <si>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</si>
  <si>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</si>
  <si>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</si>
  <si>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</si>
  <si>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</si>
  <si>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</si>
  <si>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</si>
  <si>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</si>
  <si>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</si>
  <si>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</si>
  <si>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</si>
  <si>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</si>
  <si>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</si>
  <si>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</si>
  <si>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</si>
  <si>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</si>
  <si>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</si>
  <si>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</si>
  <si>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</si>
  <si>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</si>
  <si>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</si>
  <si>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</si>
  <si>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</si>
  <si>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</si>
  <si>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</si>
  <si>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</si>
  <si>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</si>
  <si>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</si>
  <si>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</si>
  <si>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</si>
  <si>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</si>
  <si>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</si>
  <si>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</si>
  <si>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</si>
  <si>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</si>
  <si>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</si>
  <si>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</si>
  <si>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</si>
  <si>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</si>
  <si>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</si>
  <si>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</si>
  <si>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</si>
  <si>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</si>
  <si>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</si>
  <si>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</si>
  <si>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</si>
  <si>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</si>
  <si>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</si>
  <si>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</si>
  <si>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</si>
  <si>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</si>
  <si>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</si>
  <si>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</si>
  <si>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</si>
  <si>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</si>
  <si>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</si>
  <si>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</si>
  <si>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</si>
  <si>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</si>
  <si>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</si>
  <si>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</si>
  <si>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</si>
  <si>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</si>
  <si>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</si>
  <si>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</si>
  <si>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</si>
  <si>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</si>
  <si>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</si>
  <si>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</si>
  <si>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</si>
  <si>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</si>
  <si>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</si>
  <si>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</si>
  <si>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</si>
  <si>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</si>
  <si>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</si>
  <si>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</si>
  <si>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</si>
  <si>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</si>
  <si>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</si>
  <si>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</si>
  <si>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</si>
  <si>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</si>
  <si>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</si>
  <si>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</si>
  <si>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</si>
  <si>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</si>
  <si>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</si>
  <si>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</si>
  <si>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</si>
  <si>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</si>
  <si>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</si>
  <si>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</si>
  <si>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</si>
  <si>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</si>
  <si>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</si>
  <si>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</si>
  <si>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</si>
  <si>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</si>
  <si>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</si>
  <si>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</si>
  <si>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</si>
  <si>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</si>
  <si>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</si>
  <si>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</si>
  <si>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</si>
  <si>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</si>
  <si>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</si>
  <si>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</si>
  <si>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</si>
  <si>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</si>
  <si>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</si>
  <si>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</si>
  <si>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</si>
  <si>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</si>
  <si>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</si>
  <si>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</si>
  <si>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</si>
  <si>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</si>
  <si>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</si>
  <si>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</si>
  <si>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</si>
  <si>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</si>
  <si>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</si>
  <si>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</si>
  <si>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</si>
  <si>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</si>
  <si>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</si>
  <si>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</si>
  <si>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</si>
  <si>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</si>
  <si>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</si>
  <si>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</si>
  <si>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</si>
  <si>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</si>
  <si>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</si>
  <si>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</si>
  <si>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</si>
  <si>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</si>
  <si>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</si>
  <si>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</si>
  <si>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</si>
  <si>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</si>
  <si>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</si>
  <si>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</si>
  <si>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</si>
  <si>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</si>
  <si>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</si>
  <si>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</si>
  <si>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</si>
  <si>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</si>
  <si>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</si>
  <si>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</si>
  <si>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</si>
  <si>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</si>
  <si>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</si>
  <si>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</si>
  <si>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</si>
  <si>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</si>
  <si>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</si>
  <si>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</si>
  <si>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</si>
  <si>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</si>
  <si>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</si>
  <si>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</si>
  <si>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</si>
  <si>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</si>
  <si>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</si>
  <si>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</si>
  <si>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</si>
  <si>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</si>
  <si>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</si>
  <si>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</si>
  <si>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</si>
  <si>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</si>
  <si>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</si>
  <si>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</si>
  <si>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</si>
  <si>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</si>
  <si>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</si>
  <si>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</si>
  <si>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</si>
  <si>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</si>
  <si>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</si>
  <si>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</si>
  <si>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</si>
  <si>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</si>
  <si>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</si>
  <si>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</si>
  <si>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</si>
  <si>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</si>
  <si>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</si>
  <si>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</si>
  <si>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</si>
  <si>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</si>
  <si>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</si>
  <si>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</si>
  <si>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</si>
  <si>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</si>
  <si>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</si>
  <si>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</si>
  <si>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</si>
  <si>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</si>
  <si>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</si>
  <si>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</si>
  <si>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</si>
  <si>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</si>
  <si>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</si>
  <si>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</si>
  <si>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</si>
  <si>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</si>
  <si>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</si>
  <si>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</si>
  <si>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</si>
  <si>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</si>
  <si>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</si>
  <si>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</si>
  <si>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</si>
  <si>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</si>
  <si>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</si>
  <si>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</si>
  <si>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</si>
  <si>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</si>
  <si>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</si>
  <si>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</si>
  <si>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</si>
  <si>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</si>
  <si>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</si>
  <si>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</si>
  <si>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</si>
  <si>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</si>
  <si>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</si>
  <si>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</si>
  <si>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</si>
  <si>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</si>
  <si>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</si>
  <si>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</si>
  <si>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</si>
  <si>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</si>
  <si>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</si>
  <si>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</si>
  <si>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</si>
  <si>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</si>
  <si>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</si>
  <si>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</si>
  <si>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</si>
  <si>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</si>
  <si>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</si>
  <si>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</si>
  <si>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</si>
  <si>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</si>
  <si>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</si>
  <si>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</si>
  <si>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</si>
  <si>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</si>
  <si>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</si>
  <si>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</si>
  <si>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</si>
  <si>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</si>
  <si>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</si>
  <si>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</si>
  <si>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</si>
  <si>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</si>
  <si>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</si>
  <si>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</si>
  <si>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</si>
  <si>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</si>
  <si>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</si>
  <si>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</si>
  <si>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</si>
  <si>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</si>
  <si>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</si>
  <si>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</si>
  <si>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</si>
  <si>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</si>
  <si>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</si>
  <si>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</si>
  <si>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</si>
  <si>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</si>
  <si>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</si>
  <si>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</si>
  <si>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</si>
  <si>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</si>
  <si>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</si>
  <si>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</si>
  <si>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</si>
  <si>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</si>
  <si>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</si>
  <si>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</si>
  <si>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</si>
  <si>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</si>
  <si>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</si>
  <si>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</si>
  <si>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</si>
  <si>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</si>
  <si>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</si>
  <si>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</si>
  <si>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</si>
  <si>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</si>
  <si>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</si>
  <si>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</si>
  <si>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</si>
  <si>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</si>
  <si>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</si>
  <si>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</si>
  <si>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</si>
  <si>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</si>
  <si>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</si>
  <si>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</si>
  <si>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</si>
  <si>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</si>
  <si>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</si>
  <si>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</si>
  <si>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</si>
  <si>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</si>
  <si>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</si>
  <si>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</si>
  <si>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</si>
  <si>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</si>
  <si>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</si>
  <si>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</si>
  <si>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</si>
  <si>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</si>
  <si>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</si>
  <si>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</si>
  <si>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</si>
  <si>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</si>
  <si>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</si>
  <si>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</si>
  <si>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</si>
  <si>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</si>
  <si>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</si>
  <si>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</si>
  <si>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</si>
  <si>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</si>
  <si>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</si>
  <si>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</si>
  <si>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</si>
  <si>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</si>
  <si>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</si>
  <si>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</si>
  <si>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</si>
  <si>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</si>
  <si>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</si>
  <si>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</si>
  <si>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</si>
  <si>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</si>
  <si>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</si>
  <si>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</si>
  <si>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</si>
  <si>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</si>
  <si>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</si>
  <si>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</si>
  <si>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</si>
  <si>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</si>
  <si>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</si>
  <si>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</si>
  <si>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</si>
  <si>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</si>
  <si>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</si>
  <si>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</si>
  <si>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</si>
  <si>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</si>
  <si>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</si>
  <si>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</si>
  <si>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</si>
  <si>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</si>
  <si>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</si>
  <si>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</si>
  <si>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</si>
  <si>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</si>
  <si>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</si>
  <si>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</si>
  <si>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</si>
  <si>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</si>
  <si>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</si>
  <si>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</si>
  <si>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</si>
  <si>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</si>
  <si>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</si>
  <si>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</si>
  <si>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</si>
  <si>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</si>
  <si>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</si>
  <si>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</si>
  <si>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</si>
  <si>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</si>
  <si>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</si>
  <si>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</si>
  <si>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</si>
  <si>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</si>
  <si>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</si>
  <si>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</si>
  <si>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</si>
  <si>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</si>
  <si>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</si>
  <si>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</si>
  <si>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</si>
  <si>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</si>
  <si>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</si>
  <si>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</si>
  <si>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</si>
  <si>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</si>
  <si>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</si>
  <si>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</si>
  <si>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</si>
  <si>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</si>
  <si>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</si>
  <si>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</si>
  <si>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</si>
  <si>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</si>
  <si>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</si>
  <si>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</si>
  <si>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</si>
  <si>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</si>
  <si>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</si>
  <si>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</si>
  <si>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</si>
  <si>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</si>
  <si>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</si>
  <si>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</si>
  <si>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</si>
  <si>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</si>
  <si>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</si>
  <si>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</si>
  <si>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</si>
  <si>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</si>
  <si>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</si>
  <si>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</si>
  <si>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</si>
  <si>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</si>
  <si>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</si>
  <si>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</si>
  <si>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</si>
  <si>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</si>
  <si>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</si>
  <si>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</si>
  <si>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</si>
  <si>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</si>
  <si>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</si>
  <si>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</si>
  <si>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</si>
  <si>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</si>
  <si>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</si>
  <si>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</si>
  <si>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</si>
  <si>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</si>
  <si>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</si>
  <si>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</si>
  <si>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</si>
  <si>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</si>
  <si>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</si>
  <si>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</si>
  <si>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</si>
  <si>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</si>
  <si>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</si>
  <si>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</si>
  <si>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</si>
  <si>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</si>
  <si>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</si>
  <si>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</si>
  <si>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</si>
  <si>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</si>
  <si>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</si>
  <si>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</si>
  <si>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</si>
  <si>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</si>
  <si>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</si>
  <si>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</si>
  <si>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</si>
  <si>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</si>
  <si>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</si>
  <si>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</si>
  <si>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</si>
  <si>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</si>
  <si>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</si>
  <si>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</si>
  <si>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</si>
  <si>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</si>
  <si>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</si>
  <si>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</si>
  <si>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</si>
  <si>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</si>
  <si>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</si>
  <si>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</si>
  <si>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</si>
  <si>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</si>
  <si>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</si>
  <si>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</si>
  <si>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</si>
  <si>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</si>
  <si>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</si>
  <si>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</si>
  <si>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</si>
  <si>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</si>
  <si>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</si>
  <si>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</si>
  <si>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</si>
  <si>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</si>
  <si>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</si>
  <si>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</si>
  <si>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</si>
  <si>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</si>
  <si>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</si>
  <si>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</si>
  <si>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</si>
  <si>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</si>
  <si>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</si>
  <si>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</si>
  <si>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</si>
  <si>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</si>
  <si>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</si>
  <si>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</si>
  <si>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</si>
  <si>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</si>
  <si>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</si>
  <si>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</si>
  <si>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</si>
  <si>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</si>
  <si>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</si>
  <si>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</si>
  <si>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</si>
  <si>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</si>
  <si>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</si>
  <si>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</si>
  <si>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</si>
  <si>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</si>
  <si>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</si>
  <si>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</si>
  <si>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</si>
  <si>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</si>
  <si>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</si>
  <si>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</si>
  <si>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</si>
  <si>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</si>
  <si>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</si>
  <si>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</si>
  <si>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</si>
  <si>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</si>
  <si>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</si>
  <si>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</si>
  <si>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</si>
  <si>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</si>
  <si>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</si>
  <si>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</si>
  <si>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</si>
  <si>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</si>
  <si>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</si>
  <si>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</si>
  <si>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</si>
  <si>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</si>
  <si>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</si>
  <si>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</si>
  <si>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</si>
  <si>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</si>
  <si>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</si>
  <si>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</si>
  <si>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</si>
  <si>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</si>
  <si>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</si>
  <si>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</si>
  <si>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</si>
  <si>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</si>
  <si>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</si>
  <si>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</si>
  <si>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</si>
  <si>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</si>
  <si>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</si>
  <si>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</si>
  <si>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</si>
  <si>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</si>
  <si>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</si>
  <si>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</si>
  <si>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</si>
  <si>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</si>
  <si>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</si>
  <si>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</si>
  <si>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</si>
  <si>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</si>
  <si>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</si>
  <si>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</si>
  <si>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</si>
  <si>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</si>
  <si>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</si>
  <si>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</si>
  <si>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</si>
  <si>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</si>
  <si>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</si>
  <si>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</si>
  <si>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</si>
  <si>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</si>
  <si>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</si>
  <si>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</si>
  <si>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</si>
  <si>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</si>
  <si>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</si>
  <si>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</si>
  <si>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</si>
  <si>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</si>
  <si>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</si>
  <si>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</si>
  <si>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</si>
  <si>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</si>
  <si>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</si>
  <si>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</si>
  <si>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</si>
  <si>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</si>
  <si>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</si>
  <si>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</si>
  <si>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</si>
  <si>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</si>
  <si>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</si>
  <si>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</si>
  <si>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</si>
  <si>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</si>
  <si>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</si>
  <si>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</si>
  <si>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</si>
  <si>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</si>
  <si>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</si>
  <si>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</si>
  <si>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</si>
  <si>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</si>
  <si>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</si>
  <si>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</si>
  <si>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</si>
  <si>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</si>
  <si>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</si>
  <si>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</si>
  <si>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</si>
  <si>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</si>
  <si>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</si>
  <si>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</si>
  <si>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</si>
  <si>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</si>
  <si>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</si>
  <si>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</si>
  <si>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</si>
  <si>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</si>
  <si>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</si>
  <si>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</si>
  <si>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</si>
  <si>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</si>
  <si>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</si>
  <si>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</si>
  <si>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</si>
  <si>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</si>
  <si>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</si>
  <si>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</si>
  <si>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</si>
  <si>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</si>
  <si>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</si>
  <si>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</si>
  <si>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</si>
  <si>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</si>
  <si>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</si>
  <si>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</si>
  <si>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</si>
  <si>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</si>
  <si>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</si>
  <si>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</si>
  <si>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</si>
  <si>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</si>
  <si>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</si>
  <si>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</si>
  <si>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</si>
  <si>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</si>
  <si>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</si>
  <si>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</si>
  <si>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</si>
  <si>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</si>
  <si>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</si>
  <si>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</si>
  <si>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</si>
  <si>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</si>
  <si>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</si>
  <si>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</si>
  <si>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</si>
  <si>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</si>
  <si>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</si>
  <si>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</si>
  <si>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</si>
  <si>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</si>
  <si>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</si>
  <si>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</si>
  <si>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</si>
  <si>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</si>
  <si>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</si>
  <si>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</si>
  <si>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</si>
  <si>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</si>
  <si>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</si>
  <si>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</si>
  <si>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</si>
  <si>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</si>
  <si>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</si>
  <si>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</si>
  <si>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</si>
  <si>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</si>
  <si>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</si>
  <si>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</si>
  <si>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</si>
  <si>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</si>
  <si>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</si>
  <si>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</si>
  <si>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</si>
  <si>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</si>
  <si>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</si>
  <si>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</si>
  <si>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</si>
  <si>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</si>
  <si>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</si>
  <si>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</si>
  <si>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</si>
  <si>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</si>
  <si>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</si>
  <si>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</si>
  <si>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</si>
  <si>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</si>
  <si>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</si>
  <si>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</si>
  <si>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</si>
  <si>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</si>
  <si>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</si>
  <si>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</si>
  <si>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</si>
  <si>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</si>
  <si>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</si>
  <si>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</si>
  <si>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</si>
  <si>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</si>
  <si>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</si>
  <si>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</si>
  <si>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</si>
  <si>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</si>
  <si>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</si>
  <si>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</si>
  <si>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</si>
  <si>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</si>
  <si>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</si>
  <si>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</si>
  <si>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</si>
  <si>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</si>
  <si>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</si>
  <si>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</si>
  <si>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</si>
  <si>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</si>
  <si>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</si>
  <si>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</si>
  <si>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</si>
  <si>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</si>
  <si>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</si>
  <si>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</si>
  <si>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</si>
  <si>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</si>
  <si>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</si>
  <si>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</si>
  <si>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</si>
  <si>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</si>
  <si>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</si>
  <si>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</si>
  <si>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</si>
  <si>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</si>
  <si>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</si>
  <si>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</si>
  <si>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</si>
  <si>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</si>
  <si>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</si>
  <si>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</si>
  <si>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</si>
  <si>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</si>
  <si>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</si>
  <si>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</si>
  <si>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</si>
  <si>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</si>
  <si>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</si>
  <si>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</si>
  <si>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</si>
  <si>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</si>
  <si>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</si>
  <si>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</si>
  <si>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</si>
  <si>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</si>
  <si>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</si>
  <si>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</si>
  <si>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</si>
  <si>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</si>
  <si>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</si>
  <si>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</si>
  <si>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</si>
  <si>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</si>
  <si>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</si>
  <si>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</si>
  <si>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</si>
  <si>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</si>
  <si>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</si>
  <si>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</si>
  <si>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</si>
  <si>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</si>
  <si>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</si>
  <si>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</si>
  <si>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</si>
  <si>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</si>
  <si>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</si>
  <si>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</si>
  <si>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</si>
  <si>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</si>
  <si>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</si>
  <si>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</si>
  <si>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</si>
  <si>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</si>
  <si>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</si>
  <si>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</si>
  <si>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</si>
  <si>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</si>
  <si>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</si>
  <si>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</si>
  <si>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</si>
  <si>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</si>
  <si>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</si>
  <si>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</si>
  <si>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</si>
  <si>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</si>
  <si>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</si>
  <si>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</si>
  <si>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</si>
  <si>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</si>
  <si>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</si>
  <si>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</si>
  <si>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</si>
  <si>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</si>
  <si>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</si>
  <si>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</si>
  <si>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</si>
  <si>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</si>
  <si>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</si>
  <si>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</si>
  <si>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</si>
  <si>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</si>
  <si>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</si>
  <si>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</si>
  <si>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</si>
  <si>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</si>
  <si>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</si>
  <si>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</si>
  <si>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</si>
  <si>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</si>
  <si>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</si>
  <si>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</si>
  <si>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</si>
  <si>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</si>
  <si>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</si>
  <si>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</si>
  <si>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</si>
  <si>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</si>
  <si>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</si>
  <si>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</si>
  <si>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</si>
  <si>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</si>
  <si>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</si>
  <si>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</si>
  <si>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</si>
  <si>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</si>
  <si>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</si>
  <si>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</si>
  <si>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</si>
  <si>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</si>
  <si>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</si>
  <si>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</si>
  <si>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</si>
  <si>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</si>
  <si>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</si>
  <si>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</si>
  <si>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</si>
  <si>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</si>
  <si>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</si>
  <si>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</si>
  <si>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</si>
  <si>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</si>
  <si>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</si>
  <si>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</si>
  <si>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</si>
  <si>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</si>
  <si>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</si>
  <si>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</si>
  <si>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</si>
  <si>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</si>
  <si>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</si>
  <si>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</si>
  <si>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</si>
  <si>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</si>
  <si>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</si>
  <si>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</si>
  <si>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</si>
  <si>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</si>
  <si>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</si>
  <si>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</si>
  <si>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</si>
  <si>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</si>
  <si>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</si>
  <si>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</si>
  <si>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</si>
  <si>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</si>
  <si>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</si>
  <si>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</si>
  <si>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</si>
  <si>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</si>
  <si>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</si>
  <si>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</si>
  <si>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</si>
  <si>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</si>
  <si>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</si>
  <si>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</si>
  <si>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</si>
  <si>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</si>
  <si>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</si>
  <si>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</si>
  <si>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</si>
  <si>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</si>
  <si>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</si>
  <si>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</si>
  <si>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</si>
  <si>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</si>
  <si>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</si>
  <si>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</si>
  <si>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</si>
  <si>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</si>
  <si>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</si>
  <si>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</si>
  <si>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</si>
  <si>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</si>
  <si>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</si>
  <si>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</si>
  <si>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</si>
  <si>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</si>
  <si>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</si>
  <si>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</si>
  <si>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</si>
  <si>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</si>
  <si>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</si>
  <si>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</si>
  <si>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</si>
  <si>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</si>
  <si>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</si>
  <si>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</si>
  <si>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</si>
  <si>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</si>
  <si>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</si>
  <si>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</si>
  <si>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</si>
  <si>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</si>
  <si>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</si>
  <si>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</si>
  <si>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</si>
  <si>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</si>
  <si>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</si>
  <si>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</si>
  <si>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</si>
  <si>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</si>
  <si>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</si>
  <si>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</si>
  <si>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</si>
  <si>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</si>
  <si>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</si>
  <si>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</si>
  <si>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</si>
  <si>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</si>
  <si>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</si>
  <si>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</si>
  <si>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</si>
  <si>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</si>
  <si>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</si>
  <si>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</si>
  <si>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</si>
  <si>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</si>
  <si>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</si>
  <si>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</si>
  <si>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</si>
  <si>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</si>
  <si>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</si>
  <si>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</si>
  <si>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</si>
  <si>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</si>
  <si>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</si>
  <si>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</si>
  <si>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</si>
  <si>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</si>
  <si>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</si>
  <si>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</si>
  <si>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</si>
  <si>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</si>
  <si>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</si>
  <si>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</si>
  <si>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</si>
  <si>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</si>
  <si>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</si>
  <si>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</si>
  <si>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</si>
  <si>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</si>
  <si>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</si>
  <si>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</si>
  <si>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</si>
  <si>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</si>
  <si>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</si>
  <si>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</si>
  <si>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</si>
  <si>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</si>
  <si>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</si>
  <si>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</si>
  <si>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</si>
  <si>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</si>
  <si>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</si>
  <si>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</si>
  <si>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</si>
  <si>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</si>
  <si>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</si>
  <si>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</si>
  <si>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</si>
  <si>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</si>
  <si>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</si>
  <si>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</si>
  <si>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</si>
  <si>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</si>
  <si>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</si>
  <si>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</si>
  <si>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</si>
  <si>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</si>
  <si>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</si>
  <si>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</si>
  <si>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</si>
  <si>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</si>
  <si>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</si>
  <si>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</si>
  <si>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</si>
  <si>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</si>
  <si>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</si>
  <si>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</si>
  <si>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</si>
  <si>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</si>
  <si>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</si>
  <si>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</si>
  <si>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</si>
  <si>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</si>
  <si>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</si>
  <si>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</si>
  <si>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</si>
  <si>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</si>
  <si>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</si>
  <si>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</si>
  <si>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</si>
  <si>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</si>
  <si>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</si>
  <si>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</si>
  <si>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</si>
  <si>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</si>
  <si>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</si>
  <si>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</si>
  <si>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</si>
  <si>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</si>
  <si>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</si>
  <si>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</si>
  <si>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</si>
  <si>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</si>
  <si>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</si>
  <si>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</si>
  <si>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</si>
  <si>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</si>
  <si>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</si>
  <si>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</si>
  <si>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</si>
  <si>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</si>
  <si>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</si>
  <si>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</si>
  <si>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</si>
  <si>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</si>
  <si>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</si>
  <si>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</si>
  <si>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</si>
  <si>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</si>
  <si>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</si>
  <si>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</si>
  <si>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</si>
  <si>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</si>
  <si>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</si>
  <si>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</si>
  <si>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</si>
  <si>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</si>
  <si>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</si>
  <si>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</si>
  <si>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</si>
  <si>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</si>
  <si>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</si>
  <si>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</si>
  <si>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</si>
  <si>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</si>
  <si>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</si>
  <si>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</si>
  <si>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</si>
  <si>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</si>
  <si>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</si>
  <si>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</si>
  <si>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</si>
  <si>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</si>
  <si>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</si>
  <si>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</si>
  <si>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</si>
  <si>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</si>
  <si>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</si>
  <si>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</si>
  <si>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</si>
  <si>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</si>
  <si>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</si>
  <si>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</si>
  <si>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</si>
  <si>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</si>
  <si>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</si>
  <si>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</si>
  <si>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</si>
  <si>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</si>
  <si>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</si>
  <si>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</si>
  <si>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</si>
  <si>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</si>
  <si>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</si>
  <si>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</si>
  <si>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</si>
  <si>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</si>
  <si>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</si>
  <si>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</si>
  <si>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</si>
  <si>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</si>
  <si>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</si>
  <si>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</si>
  <si>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</si>
  <si>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</si>
  <si>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</si>
  <si>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</si>
  <si>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</si>
  <si>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</si>
  <si>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</si>
  <si>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</si>
  <si>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</si>
  <si>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</si>
  <si>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</si>
  <si>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</si>
  <si>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</si>
  <si>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</si>
  <si>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</si>
  <si>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</si>
  <si>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</si>
  <si>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</si>
  <si>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</si>
  <si>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</si>
  <si>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</si>
  <si>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</si>
  <si>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</si>
  <si>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</si>
  <si>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</si>
  <si>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</si>
  <si>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</si>
  <si>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</si>
  <si>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</si>
  <si>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</si>
  <si>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</si>
  <si>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</si>
  <si>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</si>
  <si>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</si>
  <si>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</si>
  <si>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</si>
  <si>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</si>
  <si>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</si>
  <si>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</si>
  <si>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</si>
  <si>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</si>
  <si>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</si>
  <si>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</si>
  <si>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</si>
  <si>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</si>
  <si>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</si>
  <si>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</si>
  <si>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</si>
  <si>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</si>
  <si>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</si>
  <si>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</si>
  <si>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</si>
  <si>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</si>
  <si>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</si>
  <si>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</si>
  <si>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</si>
  <si>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</si>
  <si>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</si>
  <si>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</si>
  <si>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</si>
  <si>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</si>
  <si>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</si>
  <si>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</si>
  <si>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</si>
  <si>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</si>
  <si>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</si>
  <si>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</si>
  <si>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</si>
  <si>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</si>
  <si>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</si>
  <si>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</si>
  <si>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</si>
  <si>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</si>
  <si>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</si>
  <si>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</si>
  <si>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</si>
  <si>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</si>
  <si>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</si>
  <si>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</si>
  <si>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</si>
  <si>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</si>
  <si>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</si>
  <si>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</si>
  <si>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</si>
  <si>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</si>
  <si>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</si>
  <si>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</si>
  <si>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</si>
  <si>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</si>
  <si>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</si>
  <si>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</si>
  <si>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</si>
  <si>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</si>
  <si>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</si>
  <si>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</si>
  <si>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</si>
  <si>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</si>
  <si>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</si>
  <si>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</si>
  <si>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</si>
  <si>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</si>
  <si>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</si>
  <si>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</si>
  <si>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</si>
  <si>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</si>
  <si>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</si>
  <si>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</si>
  <si>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</si>
  <si>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</si>
  <si>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</si>
  <si>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</si>
  <si>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</si>
  <si>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</si>
  <si>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</si>
  <si>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</si>
  <si>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</si>
  <si>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</si>
  <si>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</si>
  <si>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</si>
  <si>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</si>
  <si>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</si>
  <si>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</si>
  <si>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</si>
  <si>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</si>
  <si>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</si>
  <si>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</si>
  <si>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</si>
  <si>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</si>
  <si>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</si>
  <si>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</si>
  <si>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</si>
  <si>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</si>
  <si>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</si>
  <si>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</si>
  <si>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</si>
  <si>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</si>
  <si>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</si>
  <si>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</si>
  <si>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</si>
  <si>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</si>
  <si>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</si>
  <si>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</si>
  <si>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</si>
  <si>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</si>
  <si>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</si>
  <si>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</si>
  <si>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</si>
  <si>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</si>
  <si>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</si>
  <si>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</si>
  <si>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</si>
  <si>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</si>
  <si>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</si>
  <si>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</si>
  <si>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</si>
  <si>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</si>
  <si>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</si>
  <si>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</si>
  <si>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</si>
  <si>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</si>
  <si>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</si>
  <si>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</si>
  <si>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</si>
  <si>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</si>
  <si>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</si>
  <si>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</si>
  <si>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</si>
  <si>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</si>
  <si>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</si>
  <si>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</si>
  <si>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</si>
  <si>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</si>
  <si>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</si>
  <si>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</si>
  <si>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</si>
  <si>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</si>
  <si>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</si>
  <si>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</si>
  <si>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</si>
  <si>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</si>
  <si>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</si>
  <si>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</si>
  <si>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</si>
  <si>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</si>
  <si>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</si>
  <si>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</si>
  <si>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</si>
  <si>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</si>
  <si>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</si>
  <si>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</si>
  <si>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</si>
  <si>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</si>
  <si>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</si>
  <si>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</si>
  <si>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</si>
  <si>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</si>
  <si>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</si>
  <si>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</si>
  <si>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</si>
  <si>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</si>
  <si>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</si>
  <si>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</si>
  <si>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</si>
  <si>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</si>
  <si>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</si>
  <si>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</si>
  <si>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</si>
  <si>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</si>
  <si>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</si>
  <si>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</si>
  <si>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</si>
  <si>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</si>
  <si>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</si>
  <si>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</si>
  <si>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</si>
  <si>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</si>
  <si>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</si>
  <si>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</si>
  <si>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</si>
  <si>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</si>
  <si>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</si>
  <si>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</si>
  <si>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</si>
  <si>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</si>
  <si>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</si>
  <si>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</si>
  <si>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</si>
  <si>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</si>
  <si>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</si>
  <si>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</si>
  <si>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</si>
  <si>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</si>
  <si>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</si>
  <si>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</si>
  <si>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</si>
  <si>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</si>
  <si>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</si>
  <si>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</si>
  <si>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</si>
  <si>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</si>
  <si>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</si>
  <si>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</si>
  <si>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</si>
  <si>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</si>
  <si>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</si>
  <si>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</si>
  <si>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</si>
  <si>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</si>
  <si>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</si>
  <si>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</si>
  <si>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</si>
  <si>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</si>
  <si>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</si>
  <si>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</si>
  <si>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</si>
  <si>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</si>
  <si>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</si>
  <si>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</si>
  <si>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</si>
  <si>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</si>
  <si>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</si>
  <si>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</si>
  <si>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</si>
  <si>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</si>
  <si>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</si>
  <si>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</si>
  <si>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</si>
  <si>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</si>
  <si>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</si>
  <si>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</si>
  <si>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</si>
  <si>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</si>
  <si>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</si>
  <si>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</si>
  <si>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</si>
  <si>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</si>
  <si>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</si>
  <si>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</si>
  <si>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</si>
  <si>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</si>
  <si>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</si>
  <si>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</si>
  <si>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</si>
  <si>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</si>
  <si>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</si>
  <si>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</si>
  <si>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</si>
  <si>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</si>
  <si>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</si>
  <si>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</si>
  <si>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</si>
  <si>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</si>
  <si>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</si>
  <si>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</si>
  <si>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</si>
  <si>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</si>
  <si>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</si>
  <si>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</si>
  <si>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</si>
  <si>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</si>
  <si>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</si>
  <si>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</si>
  <si>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</si>
  <si>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</si>
  <si>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</si>
  <si>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</si>
  <si>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</si>
  <si>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</si>
  <si>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</si>
  <si>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</si>
  <si>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</si>
  <si>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</si>
  <si>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</si>
  <si>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</si>
  <si>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</si>
  <si>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</si>
  <si>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</si>
  <si>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</si>
  <si>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</si>
  <si>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</si>
  <si>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</si>
  <si>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</si>
  <si>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</si>
  <si>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</si>
  <si>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</si>
  <si>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</si>
  <si>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</si>
  <si>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</si>
  <si>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</si>
  <si>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</si>
  <si>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</si>
  <si>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</si>
  <si>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</si>
  <si>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</si>
  <si>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</si>
  <si>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</si>
  <si>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</si>
  <si>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</si>
  <si>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</si>
  <si>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</si>
  <si>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</si>
  <si>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</si>
  <si>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</si>
  <si>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</si>
  <si>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</si>
  <si>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</si>
  <si>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</si>
  <si>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</si>
  <si>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</si>
  <si>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</si>
  <si>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</si>
  <si>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</si>
  <si>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</si>
  <si>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</si>
  <si>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</si>
  <si>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</si>
  <si>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</si>
  <si>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</si>
  <si>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</si>
  <si>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</si>
  <si>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</si>
  <si>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</si>
  <si>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</si>
  <si>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</si>
  <si>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</si>
  <si>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</si>
  <si>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</si>
  <si>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</si>
  <si>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</si>
  <si>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</si>
  <si>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</si>
  <si>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</si>
  <si>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</si>
  <si>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</si>
  <si>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</si>
  <si>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</si>
  <si>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</si>
  <si>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</si>
  <si>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</si>
  <si>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</si>
  <si>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</si>
  <si>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</si>
  <si>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</si>
  <si>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</si>
  <si>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</si>
  <si>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</si>
  <si>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</si>
  <si>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</si>
  <si>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</si>
  <si>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</si>
  <si>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</si>
  <si>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</si>
  <si>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</si>
  <si>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</si>
  <si>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</si>
  <si>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</si>
  <si>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</si>
  <si>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</si>
  <si>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</si>
  <si>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</si>
  <si>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</si>
  <si>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</si>
  <si>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</si>
  <si>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</si>
  <si>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</si>
  <si>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</si>
  <si>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</si>
  <si>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</si>
  <si>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</si>
  <si>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</si>
  <si>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</si>
  <si>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</si>
  <si>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</si>
  <si>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</si>
  <si>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</si>
  <si>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</si>
  <si>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</si>
  <si>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</si>
  <si>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</si>
  <si>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</si>
  <si>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</si>
  <si>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</si>
  <si>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</si>
  <si>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</si>
  <si>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</si>
  <si>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</si>
  <si>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</si>
  <si>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</si>
  <si>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</si>
  <si>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</si>
  <si>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</si>
  <si>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</si>
  <si>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</si>
  <si>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</si>
  <si>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</si>
  <si>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</si>
  <si>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</si>
  <si>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</si>
  <si>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</si>
  <si>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</si>
  <si>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</si>
  <si>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</si>
  <si>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</si>
  <si>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</si>
  <si>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</si>
  <si>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</si>
  <si>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</si>
  <si>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</si>
  <si>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</si>
  <si>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</si>
  <si>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</si>
  <si>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</si>
  <si>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</si>
  <si>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</si>
  <si>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</si>
  <si>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</si>
  <si>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</si>
  <si>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</si>
  <si>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</si>
  <si>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</si>
  <si>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</si>
  <si>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</si>
  <si>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</si>
  <si>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</si>
  <si>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</si>
  <si>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</si>
  <si>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</si>
  <si>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</si>
  <si>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</si>
  <si>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</si>
  <si>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</si>
  <si>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</si>
  <si>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</si>
  <si>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</si>
  <si>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</si>
  <si>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</si>
  <si>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</si>
  <si>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</si>
  <si>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</si>
  <si>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</si>
  <si>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</si>
  <si>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</si>
  <si>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</si>
  <si>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</si>
  <si>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</si>
  <si>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</si>
  <si>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</si>
  <si>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</si>
  <si>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</si>
  <si>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</si>
  <si>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</si>
  <si>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</si>
  <si>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</si>
  <si>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</si>
  <si>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</si>
  <si>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</si>
  <si>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</si>
  <si>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</si>
  <si>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</si>
  <si>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</si>
  <si>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</si>
  <si>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</si>
  <si>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</si>
  <si>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</si>
  <si>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</si>
  <si>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</si>
  <si>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</si>
  <si>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</si>
  <si>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</si>
  <si>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</si>
  <si>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</si>
  <si>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</si>
  <si>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</si>
  <si>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</si>
  <si>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</si>
  <si>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</si>
  <si>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</si>
  <si>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</si>
  <si>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</si>
  <si>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</si>
  <si>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</si>
  <si>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</si>
  <si>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</si>
  <si>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</si>
  <si>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</si>
  <si>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</si>
  <si>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</si>
  <si>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</si>
  <si>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</si>
  <si>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</si>
  <si>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</si>
  <si>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</si>
  <si>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</si>
  <si>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</si>
  <si>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</si>
  <si>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</si>
  <si>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</si>
  <si>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</si>
  <si>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</si>
  <si>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</si>
  <si>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</si>
  <si>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</si>
  <si>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</si>
  <si>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</si>
  <si>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</si>
  <si>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</si>
  <si>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</si>
  <si>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</si>
  <si>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</si>
  <si>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</si>
  <si>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</si>
  <si>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</si>
  <si>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</si>
  <si>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</si>
  <si>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</si>
  <si>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</si>
  <si>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</si>
  <si>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</si>
  <si>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</si>
  <si>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</si>
  <si>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</si>
  <si>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</si>
  <si>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</si>
  <si>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</si>
  <si>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</si>
  <si>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</si>
  <si>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</si>
  <si>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</si>
  <si>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</si>
  <si>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</si>
  <si>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</si>
  <si>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</si>
  <si>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</si>
  <si>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</si>
  <si>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</si>
  <si>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</si>
  <si>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</si>
  <si>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</si>
  <si>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</si>
  <si>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</si>
  <si>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</si>
  <si>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</si>
  <si>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</si>
  <si>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</si>
  <si>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</si>
  <si>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</si>
  <si>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</si>
  <si>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</si>
  <si>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</si>
  <si>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</si>
  <si>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</si>
  <si>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</si>
  <si>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</si>
  <si>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</si>
  <si>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</si>
  <si>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</si>
  <si>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</si>
  <si>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</si>
  <si>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</si>
  <si>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</si>
  <si>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</si>
  <si>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</si>
  <si>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</si>
  <si>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</si>
  <si>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</si>
  <si>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</si>
  <si>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</si>
  <si>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</si>
  <si>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</si>
  <si>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</si>
  <si>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</si>
  <si>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</si>
  <si>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</si>
  <si>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</si>
  <si>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</si>
  <si>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</si>
  <si>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</si>
  <si>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</si>
  <si>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</si>
  <si>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</si>
  <si>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</si>
  <si>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</si>
  <si>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</si>
  <si>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</si>
  <si>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</si>
  <si>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</si>
  <si>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</si>
  <si>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</si>
  <si>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</si>
  <si>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</si>
  <si>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</si>
  <si>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</si>
  <si>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</si>
  <si>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</si>
  <si>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</si>
  <si>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</si>
  <si>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</si>
  <si>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</si>
  <si>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</si>
  <si>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</si>
  <si>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</si>
  <si>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</si>
  <si>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</si>
  <si>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</si>
  <si>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</si>
  <si>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</si>
  <si>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</si>
  <si>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</si>
  <si>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</si>
  <si>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</si>
  <si>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</si>
  <si>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</si>
  <si>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</si>
  <si>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</si>
  <si>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</si>
  <si>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</si>
  <si>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</si>
  <si>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</si>
  <si>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</si>
  <si>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</si>
  <si>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</si>
  <si>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</si>
  <si>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</si>
  <si>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</si>
  <si>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</si>
  <si>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</si>
  <si>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</si>
  <si>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</si>
  <si>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</si>
  <si>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</si>
  <si>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</si>
  <si>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</si>
  <si>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</si>
  <si>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</si>
  <si>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</si>
  <si>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</si>
  <si>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</si>
  <si>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</si>
  <si>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</si>
  <si>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</si>
  <si>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</si>
  <si>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</si>
  <si>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</si>
  <si>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</si>
  <si>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</si>
  <si>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</si>
  <si>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</si>
  <si>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</si>
  <si>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</si>
  <si>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</si>
  <si>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</si>
  <si>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</si>
  <si>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</si>
  <si>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</si>
  <si>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</si>
  <si>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</si>
  <si>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</si>
  <si>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</si>
  <si>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</si>
  <si>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</si>
  <si>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</si>
  <si>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</si>
  <si>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</si>
  <si>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</si>
  <si>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</si>
  <si>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</si>
  <si>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</si>
  <si>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</si>
  <si>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</si>
  <si>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</si>
  <si>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</si>
  <si>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</si>
  <si>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</si>
  <si>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</si>
  <si>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</si>
  <si>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</si>
  <si>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</si>
  <si>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</si>
  <si>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</si>
  <si>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</si>
  <si>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</si>
  <si>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</si>
  <si>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</si>
  <si>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</si>
  <si>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</si>
  <si>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</si>
  <si>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</si>
  <si>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</si>
  <si>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</si>
  <si>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</si>
  <si>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</si>
  <si>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</si>
  <si>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</si>
  <si>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</si>
  <si>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</si>
  <si>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</si>
  <si>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</si>
  <si>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</si>
  <si>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</si>
  <si>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</si>
  <si>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</si>
  <si>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</si>
  <si>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</si>
  <si>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</si>
  <si>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</si>
  <si>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</si>
  <si>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</si>
  <si>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</si>
  <si>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</si>
  <si>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</si>
  <si>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</si>
  <si>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</si>
  <si>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</si>
  <si>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</si>
  <si>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</si>
  <si>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</si>
  <si>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</si>
  <si>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</si>
  <si>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</si>
  <si>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</si>
  <si>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</si>
  <si>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</si>
  <si>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</si>
  <si>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</si>
  <si>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</si>
  <si>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</si>
  <si>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</si>
  <si>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</si>
  <si>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</si>
  <si>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</si>
  <si>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</si>
  <si>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</si>
  <si>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</si>
  <si>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</si>
  <si>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</si>
  <si>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</si>
  <si>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</si>
  <si>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</si>
  <si>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</si>
  <si>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</si>
  <si>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</si>
  <si>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</si>
  <si>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</si>
  <si>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</si>
  <si>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</si>
  <si>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</si>
  <si>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</si>
  <si>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</si>
  <si>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</si>
  <si>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</si>
  <si>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</si>
  <si>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</si>
  <si>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</si>
  <si>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</si>
  <si>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</si>
  <si>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</si>
  <si>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</si>
  <si>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</si>
  <si>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</si>
  <si>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</si>
  <si>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</si>
  <si>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</si>
  <si>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</si>
  <si>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</si>
  <si>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</si>
  <si>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</si>
  <si>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</si>
  <si>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</si>
  <si>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</si>
  <si>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</si>
  <si>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</si>
  <si>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</si>
  <si>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</si>
  <si>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</si>
  <si>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</si>
  <si>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</si>
  <si>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</si>
  <si>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</si>
  <si>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</si>
  <si>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</si>
  <si>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</si>
  <si>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</si>
  <si>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</si>
  <si>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</si>
  <si>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</si>
  <si>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</si>
  <si>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</si>
  <si>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</si>
  <si>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</si>
  <si>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</si>
  <si>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</si>
  <si>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</si>
  <si>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</si>
  <si>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</si>
  <si>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</si>
  <si>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</si>
  <si>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</si>
  <si>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</si>
  <si>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</si>
  <si>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</si>
  <si>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</si>
  <si>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</si>
  <si>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</si>
  <si>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</si>
  <si>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</si>
  <si>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</si>
  <si>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</si>
  <si>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</si>
  <si>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</si>
  <si>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</si>
  <si>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</si>
  <si>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</si>
  <si>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</si>
  <si>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</si>
  <si>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</si>
  <si>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</si>
  <si>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</si>
  <si>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</si>
  <si>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</si>
  <si>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</si>
  <si>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</si>
  <si>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</si>
  <si>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</si>
  <si>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</si>
  <si>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</si>
  <si>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</si>
  <si>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</si>
  <si>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</si>
  <si>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</si>
  <si>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</si>
  <si>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</si>
  <si>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</si>
  <si>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</si>
  <si>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</si>
  <si>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</si>
  <si>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</si>
  <si>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</si>
  <si>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</si>
  <si>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</si>
  <si>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</si>
  <si>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</si>
  <si>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</si>
  <si>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</si>
  <si>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</si>
  <si>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</si>
  <si>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</si>
  <si>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</si>
  <si>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</si>
  <si>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</si>
  <si>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</si>
  <si>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</si>
  <si>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</si>
  <si>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</si>
  <si>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</si>
  <si>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</si>
  <si>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</si>
  <si>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</si>
  <si>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</si>
  <si>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</si>
  <si>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</si>
  <si>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</si>
  <si>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</si>
  <si>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</si>
  <si>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</si>
  <si>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</si>
  <si>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</si>
  <si>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</si>
  <si>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</si>
  <si>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</si>
  <si>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</si>
  <si>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</si>
  <si>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</si>
  <si>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</si>
  <si>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</si>
  <si>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</si>
  <si>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</si>
  <si>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</si>
  <si>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</si>
  <si>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</si>
  <si>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</si>
  <si>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</si>
  <si>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</si>
  <si>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</si>
  <si>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</si>
  <si>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</si>
  <si>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</si>
  <si>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</si>
  <si>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</si>
  <si>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</si>
  <si>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</si>
  <si>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</si>
  <si>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</si>
  <si>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</si>
  <si>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</si>
  <si>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</si>
  <si>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</si>
  <si>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</si>
  <si>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</si>
  <si>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</si>
  <si>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</si>
  <si>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</si>
  <si>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</si>
  <si>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</si>
  <si>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</si>
  <si>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</si>
  <si>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</si>
  <si>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</si>
  <si>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</si>
  <si>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</si>
  <si>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</si>
  <si>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</si>
  <si>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</si>
  <si>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</si>
  <si>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</si>
  <si>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</si>
  <si>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</si>
  <si>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</si>
  <si>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</si>
  <si>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</si>
  <si>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</si>
  <si>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</si>
  <si>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</si>
  <si>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</si>
  <si>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</si>
  <si>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</si>
  <si>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</si>
  <si>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</si>
  <si>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</si>
  <si>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</si>
  <si>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</si>
  <si>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</si>
  <si>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</si>
  <si>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</si>
  <si>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</si>
  <si>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</si>
  <si>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</si>
  <si>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</si>
  <si>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</si>
  <si>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</si>
  <si>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</si>
  <si>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</si>
  <si>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</si>
  <si>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</si>
  <si>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</si>
  <si>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</si>
  <si>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</si>
  <si>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</si>
  <si>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</si>
  <si>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</si>
  <si>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</si>
  <si>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</si>
  <si>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</si>
  <si>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</si>
  <si>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</si>
  <si>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</si>
  <si>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</si>
  <si>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</si>
  <si>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</si>
  <si>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</si>
  <si>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</si>
  <si>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</si>
  <si>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</si>
  <si>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</si>
  <si>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</si>
  <si>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</si>
  <si>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</si>
  <si>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</si>
  <si>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</si>
  <si>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</si>
  <si>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</si>
  <si>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</si>
  <si>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</si>
  <si>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</si>
  <si>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</si>
  <si>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</si>
  <si>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</si>
  <si>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</si>
  <si>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</si>
  <si>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</si>
  <si>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</si>
  <si>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</si>
  <si>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</si>
  <si>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</si>
  <si>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</si>
  <si>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</si>
  <si>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</si>
  <si>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</si>
  <si>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</si>
  <si>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</si>
  <si>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</si>
  <si>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</si>
  <si>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</si>
  <si>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</si>
  <si>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</si>
  <si>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</si>
  <si>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</si>
  <si>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</si>
  <si>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</si>
  <si>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</si>
  <si>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</si>
  <si>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</si>
  <si>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</si>
  <si>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</si>
  <si>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</si>
  <si>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</si>
  <si>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</si>
  <si>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</si>
  <si>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</si>
  <si>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</si>
  <si>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</si>
  <si>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</si>
  <si>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</si>
  <si>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</si>
  <si>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</si>
  <si>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</si>
  <si>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</si>
  <si>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</si>
  <si>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</si>
  <si>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</si>
  <si>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</si>
  <si>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</si>
  <si>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</si>
  <si>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</si>
  <si>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</si>
  <si>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</si>
  <si>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</si>
  <si>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</si>
  <si>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</si>
  <si>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</si>
  <si>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</si>
  <si>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</si>
  <si>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</si>
  <si>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</si>
  <si>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</si>
  <si>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</si>
  <si>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</si>
  <si>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</si>
  <si>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</si>
  <si>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</si>
  <si>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</si>
  <si>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</si>
  <si>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</si>
  <si>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</si>
  <si>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</si>
  <si>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</si>
  <si>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</si>
  <si>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</si>
  <si>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</si>
  <si>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</si>
  <si>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</si>
  <si>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</si>
  <si>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</si>
  <si>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</si>
  <si>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</si>
  <si>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</si>
  <si>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</si>
  <si>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</si>
  <si>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</si>
  <si>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</si>
  <si>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</si>
  <si>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</si>
  <si>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</si>
  <si>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</si>
  <si>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</si>
  <si>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</si>
  <si>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</si>
  <si>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</si>
  <si>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</si>
  <si>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</si>
  <si>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</si>
  <si>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</si>
  <si>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</si>
  <si>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</si>
  <si>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</si>
  <si>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</si>
  <si>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</si>
  <si>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</si>
  <si>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</si>
  <si>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</si>
  <si>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</si>
  <si>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</si>
  <si>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</si>
  <si>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</si>
  <si>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</si>
  <si>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</si>
  <si>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</si>
  <si>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</si>
  <si>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</si>
  <si>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</si>
  <si>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</si>
  <si>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</si>
  <si>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</si>
  <si>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</si>
  <si>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</si>
  <si>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</si>
  <si>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</si>
  <si>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</si>
  <si>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</si>
  <si>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</si>
  <si>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</si>
  <si>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</si>
  <si>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</si>
  <si>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</si>
  <si>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</si>
  <si>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</si>
  <si>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</si>
  <si>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</si>
  <si>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</si>
  <si>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</si>
  <si>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</si>
  <si>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</si>
  <si>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</si>
  <si>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</si>
  <si>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</si>
  <si>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</si>
  <si>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</si>
  <si>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</si>
  <si>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</si>
  <si>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</si>
  <si>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</si>
  <si>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</si>
  <si>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</si>
  <si>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</si>
  <si>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</si>
  <si>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</si>
  <si>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</si>
  <si>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</si>
  <si>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</si>
  <si>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</si>
  <si>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</si>
  <si>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</si>
  <si>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</si>
  <si>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</si>
  <si>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</si>
  <si>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</si>
  <si>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</si>
  <si>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</si>
  <si>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</si>
  <si>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</si>
  <si>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</si>
  <si>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</si>
  <si>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</si>
  <si>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</si>
  <si>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</si>
  <si>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</si>
  <si>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</si>
  <si>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</si>
  <si>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</si>
  <si>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</si>
  <si>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</si>
  <si>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</si>
  <si>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</si>
  <si>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</si>
  <si>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</si>
  <si>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</si>
  <si>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</si>
  <si>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</si>
  <si>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</si>
  <si>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</si>
  <si>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</si>
  <si>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</si>
  <si>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</si>
  <si>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</si>
  <si>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</si>
  <si>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</si>
  <si>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</si>
  <si>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</si>
  <si>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</si>
  <si>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</si>
  <si>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</si>
  <si>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</si>
  <si>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</si>
  <si>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</si>
  <si>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</si>
  <si>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</si>
  <si>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</si>
  <si>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</si>
  <si>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</si>
  <si>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</si>
  <si>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</si>
  <si>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</si>
  <si>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</si>
  <si>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</si>
  <si>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</si>
  <si>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</si>
  <si>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</si>
  <si>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</si>
  <si>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</si>
  <si>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</si>
  <si>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</si>
  <si>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</si>
  <si>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</si>
  <si>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</si>
  <si>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</si>
  <si>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</si>
  <si>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</si>
  <si>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</si>
  <si>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</si>
  <si>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</si>
  <si>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</si>
  <si>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</si>
  <si>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</si>
  <si>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</si>
  <si>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</si>
  <si>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</si>
  <si>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</si>
  <si>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</si>
  <si>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</si>
  <si>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</si>
  <si>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</si>
  <si>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</si>
  <si>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</si>
  <si>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</si>
  <si>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</si>
  <si>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</si>
  <si>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</si>
  <si>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</si>
  <si>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</si>
  <si>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</si>
  <si>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</si>
  <si>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</si>
  <si>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</si>
  <si>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</si>
  <si>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</si>
  <si>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</si>
  <si>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</si>
  <si>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</si>
  <si>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</si>
  <si>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</si>
  <si>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</si>
  <si>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</si>
  <si>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</si>
  <si>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</si>
  <si>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</si>
  <si>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</si>
  <si>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</si>
  <si>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</si>
  <si>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</si>
  <si>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</si>
  <si>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</si>
  <si>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</si>
  <si>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</si>
  <si>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</si>
  <si>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</si>
  <si>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</si>
  <si>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</si>
  <si>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</si>
  <si>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</si>
  <si>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</si>
  <si>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</si>
  <si>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</si>
  <si>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</si>
  <si>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</si>
  <si>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</si>
  <si>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</si>
  <si>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</si>
  <si>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</si>
  <si>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</si>
  <si>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</si>
  <si>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</si>
  <si>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</si>
  <si>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</si>
  <si>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</si>
  <si>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</si>
  <si>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</si>
  <si>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</si>
  <si>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</si>
  <si>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</si>
  <si>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</si>
  <si>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</si>
  <si>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</si>
  <si>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</si>
  <si>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</si>
  <si>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</si>
  <si>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</si>
  <si>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</si>
  <si>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</si>
  <si>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</si>
  <si>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</si>
  <si>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</si>
  <si>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</si>
  <si>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</si>
  <si>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</si>
  <si>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</si>
  <si>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</si>
  <si>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</si>
  <si>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</si>
  <si>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</si>
  <si>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</si>
  <si>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</si>
  <si>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</si>
  <si>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</si>
  <si>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</si>
  <si>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</si>
  <si>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</si>
  <si>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</si>
  <si>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</si>
  <si>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</si>
  <si>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</si>
  <si>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</si>
  <si>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</si>
  <si>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</si>
  <si>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</si>
  <si>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</si>
  <si>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</si>
  <si>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</si>
  <si>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</si>
  <si>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</si>
  <si>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</si>
  <si>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</si>
  <si>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</si>
  <si>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</si>
  <si>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</si>
  <si>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</si>
  <si>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</si>
  <si>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</si>
  <si>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</si>
  <si>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</si>
  <si>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</si>
  <si>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</si>
  <si>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</si>
  <si>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</si>
  <si>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</si>
  <si>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</si>
  <si>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</si>
  <si>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</si>
  <si>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</si>
  <si>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</si>
  <si>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</si>
  <si>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</si>
  <si>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</si>
  <si>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</si>
  <si>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</si>
  <si>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</si>
  <si>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</si>
  <si>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</si>
  <si>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</si>
  <si>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</si>
  <si>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</si>
  <si>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</si>
  <si>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</si>
  <si>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</si>
  <si>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</si>
  <si>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</si>
  <si>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</si>
  <si>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</si>
  <si>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</si>
  <si>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</si>
  <si>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</si>
  <si>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</si>
  <si>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</si>
  <si>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</si>
  <si>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</si>
  <si>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</si>
  <si>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</si>
  <si>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</si>
  <si>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</si>
  <si>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</si>
  <si>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</si>
  <si>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</si>
  <si>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</si>
  <si>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</si>
  <si>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</si>
  <si>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</si>
  <si>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</si>
  <si>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</si>
  <si>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</si>
  <si>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</si>
  <si>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</si>
  <si>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</si>
  <si>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</si>
  <si>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</si>
  <si>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</si>
  <si>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</si>
  <si>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</si>
  <si>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</si>
  <si>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</si>
  <si>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</si>
  <si>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</si>
  <si>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</si>
  <si>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</si>
  <si>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</si>
  <si>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</si>
  <si>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</si>
  <si>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</si>
  <si>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</si>
  <si>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</si>
  <si>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</si>
  <si>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</si>
  <si>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</si>
  <si>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</si>
  <si>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</si>
  <si>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</si>
  <si>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</si>
  <si>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</si>
  <si>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</si>
  <si>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</si>
  <si>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</si>
  <si>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</si>
  <si>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</si>
  <si>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</si>
  <si>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</si>
  <si>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</si>
  <si>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</si>
  <si>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</si>
  <si>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</si>
  <si>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</si>
  <si>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</si>
  <si>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</si>
  <si>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</si>
  <si>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</si>
  <si>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</si>
  <si>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</si>
  <si>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</si>
  <si>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</si>
  <si>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</si>
  <si>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</si>
  <si>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</si>
  <si>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</si>
  <si>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</si>
  <si>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</si>
  <si>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</si>
  <si>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</si>
  <si>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</si>
  <si>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</si>
  <si>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</si>
  <si>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</si>
  <si>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</si>
  <si>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</si>
  <si>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</si>
  <si>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</si>
  <si>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</si>
  <si>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</si>
  <si>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</si>
  <si>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</si>
  <si>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</si>
  <si>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</si>
  <si>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</si>
  <si>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</si>
  <si>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</si>
  <si>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</si>
  <si>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</si>
  <si>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</si>
  <si>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</si>
  <si>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</si>
  <si>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</si>
  <si>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</si>
  <si>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</si>
  <si>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</si>
  <si>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</si>
  <si>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</si>
  <si>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</si>
  <si>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</si>
  <si>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</si>
  <si>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</si>
  <si>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</si>
  <si>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</si>
  <si>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</si>
  <si>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</si>
  <si>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</si>
  <si>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</si>
  <si>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</si>
  <si>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</si>
  <si>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</si>
  <si>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</si>
  <si>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</si>
  <si>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</si>
  <si>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</si>
  <si>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</si>
  <si>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</si>
  <si>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</si>
  <si>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</si>
  <si>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</si>
  <si>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</si>
  <si>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</si>
  <si>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</si>
  <si>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</si>
  <si>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</si>
  <si>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</si>
  <si>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</si>
  <si>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</si>
  <si>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</si>
  <si>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</si>
  <si>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</si>
  <si>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</si>
  <si>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</si>
  <si>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</si>
  <si>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</si>
  <si>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</si>
  <si>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</si>
  <si>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</si>
  <si>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</si>
  <si>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</si>
  <si>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</si>
  <si>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</si>
  <si>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</si>
  <si>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</si>
  <si>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</si>
  <si>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</si>
  <si>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</si>
  <si>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</si>
  <si>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</si>
  <si>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</si>
  <si>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</si>
  <si>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</si>
  <si>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</si>
  <si>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</si>
  <si>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</si>
  <si>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</si>
  <si>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</si>
  <si>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</si>
  <si>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</si>
  <si>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</si>
  <si>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</si>
  <si>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</si>
  <si>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</si>
  <si>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</si>
  <si>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</si>
  <si>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</si>
  <si>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</si>
  <si>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</si>
  <si>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</si>
  <si>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</si>
  <si>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</si>
  <si>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</si>
  <si>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</si>
  <si>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</si>
  <si>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</si>
  <si>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</si>
  <si>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</si>
  <si>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</si>
  <si>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</si>
  <si>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</si>
  <si>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</si>
  <si>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</si>
  <si>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</si>
  <si>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</si>
  <si>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</si>
  <si>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</si>
  <si>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</si>
  <si>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</si>
  <si>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</si>
  <si>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</si>
  <si>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</si>
  <si>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</si>
  <si>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</si>
  <si>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</si>
  <si>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</si>
  <si>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</si>
  <si>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</si>
  <si>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</si>
  <si>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</si>
  <si>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</si>
  <si>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</si>
  <si>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</si>
  <si>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</si>
  <si>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</si>
  <si>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</si>
  <si>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</si>
  <si>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</si>
  <si>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</si>
  <si>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</si>
  <si>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</si>
  <si>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</si>
  <si>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</si>
  <si>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</si>
  <si>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</si>
  <si>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</si>
  <si>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</si>
  <si>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</si>
  <si>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</si>
  <si>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</si>
  <si>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</si>
  <si>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</si>
  <si>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</si>
  <si>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</si>
  <si>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</si>
  <si>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</si>
  <si>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</si>
  <si>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</si>
  <si>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</si>
  <si>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</si>
  <si>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</si>
  <si>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</si>
  <si>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</si>
  <si>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</si>
  <si>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</si>
  <si>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</si>
  <si>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</si>
  <si>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</si>
  <si>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</si>
  <si>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</si>
  <si>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</si>
  <si>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</si>
  <si>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</si>
  <si>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</si>
  <si>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</si>
  <si>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</si>
  <si>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</si>
  <si>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</si>
  <si>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</si>
  <si>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</si>
  <si>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</si>
  <si>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</si>
  <si>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</si>
  <si>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</si>
  <si>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</si>
  <si>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</si>
  <si>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</si>
  <si>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</si>
  <si>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</si>
  <si>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</si>
  <si>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</si>
  <si>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</si>
  <si>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</si>
  <si>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</si>
  <si>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</si>
  <si>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</si>
  <si>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</si>
  <si>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</si>
  <si>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</si>
  <si>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</si>
  <si>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</si>
  <si>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</si>
  <si>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</si>
  <si>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</si>
  <si>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</si>
  <si>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</si>
  <si>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</si>
  <si>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</si>
  <si>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</si>
  <si>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</si>
  <si>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</si>
  <si>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</si>
  <si>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</si>
  <si>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</si>
  <si>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</si>
  <si>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</si>
  <si>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</si>
  <si>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</si>
  <si>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</si>
  <si>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</si>
  <si>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</si>
  <si>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</si>
  <si>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</si>
  <si>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</si>
  <si>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</si>
  <si>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</si>
  <si>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</si>
  <si>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</si>
  <si>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</si>
  <si>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</si>
  <si>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</si>
  <si>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</si>
  <si>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</si>
  <si>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</si>
  <si>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</si>
  <si>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</si>
  <si>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</si>
  <si>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</si>
  <si>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</si>
  <si>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</si>
  <si>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</si>
  <si>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</si>
  <si>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</si>
  <si>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</si>
  <si>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</si>
  <si>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</si>
  <si>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</si>
  <si>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</si>
  <si>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</si>
  <si>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</si>
  <si>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</si>
  <si>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</si>
  <si>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</si>
  <si>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</si>
  <si>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</si>
  <si>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</si>
  <si>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</si>
  <si>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</si>
  <si>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</si>
  <si>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</si>
  <si>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</si>
  <si>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</si>
  <si>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</si>
  <si>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</si>
  <si>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</si>
  <si>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</si>
  <si>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</si>
  <si>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</si>
  <si>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</si>
  <si>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</si>
  <si>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</si>
  <si>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</si>
  <si>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</si>
  <si>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</si>
  <si>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</si>
  <si>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</si>
  <si>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</si>
  <si>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</si>
  <si>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</si>
  <si>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</si>
  <si>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</si>
  <si>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</si>
  <si>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</si>
  <si>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</si>
  <si>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</si>
  <si>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</si>
  <si>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</si>
  <si>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</si>
  <si>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</si>
  <si>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</si>
  <si>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</si>
  <si>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</si>
  <si>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</si>
  <si>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</si>
  <si>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</si>
  <si>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</si>
  <si>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</si>
  <si>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</si>
  <si>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</si>
  <si>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</si>
  <si>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</si>
  <si>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</si>
  <si>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</si>
  <si>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</si>
  <si>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</si>
  <si>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</si>
  <si>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</si>
  <si>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</si>
  <si>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</si>
  <si>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</si>
  <si>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</si>
  <si>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</si>
  <si>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</si>
  <si>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</si>
  <si>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</si>
  <si>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</si>
  <si>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</si>
  <si>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</si>
  <si>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</si>
  <si>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</si>
  <si>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</si>
  <si>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</si>
  <si>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</si>
  <si>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</si>
  <si>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</si>
  <si>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</si>
  <si>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</si>
  <si>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</si>
  <si>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</si>
  <si>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</si>
  <si>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</si>
  <si>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</si>
  <si>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</si>
  <si>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</si>
  <si>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</si>
  <si>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</si>
  <si>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</si>
  <si>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</si>
  <si>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</si>
  <si>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</si>
  <si>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</si>
  <si>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</si>
  <si>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</si>
  <si>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</si>
  <si>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</si>
  <si>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</si>
  <si>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</si>
  <si>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</si>
  <si>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</si>
  <si>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</si>
  <si>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</si>
  <si>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</si>
  <si>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</si>
  <si>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</si>
  <si>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</si>
  <si>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</si>
  <si>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</si>
  <si>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</si>
  <si>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</si>
  <si>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</si>
  <si>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</si>
  <si>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</si>
  <si>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</si>
  <si>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</si>
  <si>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</si>
  <si>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</si>
  <si>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</si>
  <si>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</si>
  <si>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</si>
  <si>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</si>
  <si>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</si>
  <si>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</si>
  <si>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</si>
  <si>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</si>
  <si>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</si>
  <si>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</si>
  <si>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</si>
  <si>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</si>
  <si>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</si>
  <si>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</si>
  <si>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</si>
  <si>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</si>
  <si>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</si>
  <si>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</si>
  <si>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</si>
  <si>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</si>
  <si>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</si>
  <si>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</si>
  <si>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</si>
  <si>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</si>
  <si>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</si>
  <si>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</si>
  <si>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</si>
  <si>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</si>
  <si>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</si>
  <si>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</si>
  <si>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</si>
  <si>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</si>
  <si>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</si>
  <si>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</si>
  <si>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</si>
  <si>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</si>
  <si>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</si>
  <si>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</si>
  <si>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</si>
  <si>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</si>
  <si>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</si>
  <si>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</si>
  <si>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</si>
  <si>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</si>
  <si>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</si>
  <si>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</si>
  <si>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</si>
  <si>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</si>
  <si>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</si>
  <si>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</si>
  <si>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</si>
  <si>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</si>
  <si>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</si>
  <si>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</si>
  <si>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</si>
  <si>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</si>
  <si>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</si>
  <si>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</si>
  <si>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</si>
  <si>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</si>
  <si>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</si>
  <si>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</si>
  <si>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</si>
  <si>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</si>
  <si>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</si>
  <si>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</si>
  <si>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</si>
  <si>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</si>
  <si>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</si>
  <si>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</si>
  <si>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</si>
  <si>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</si>
  <si>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</si>
  <si>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</si>
  <si>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</si>
  <si>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</si>
  <si>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</si>
  <si>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</si>
  <si>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</si>
  <si>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</si>
  <si>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</si>
  <si>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</si>
  <si>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</si>
  <si>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</si>
  <si>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</si>
  <si>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</si>
  <si>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</si>
  <si>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</si>
  <si>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</si>
  <si>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</si>
  <si>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</si>
  <si>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</si>
  <si>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</si>
  <si>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</si>
  <si>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</si>
  <si>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</si>
  <si>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</si>
  <si>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</si>
  <si>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</si>
  <si>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</si>
  <si>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</si>
  <si>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</si>
  <si>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</si>
  <si>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</si>
  <si>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</si>
  <si>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</si>
  <si>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</si>
  <si>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</si>
  <si>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</si>
  <si>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</si>
  <si>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</si>
  <si>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</si>
  <si>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</si>
  <si>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</si>
  <si>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</si>
  <si>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</si>
  <si>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</si>
  <si>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</si>
  <si>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</si>
  <si>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</si>
  <si>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</si>
  <si>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</si>
  <si>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</si>
  <si>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</si>
  <si>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</si>
  <si>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</si>
  <si>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</si>
  <si>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</si>
  <si>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</si>
  <si>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</si>
  <si>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</si>
  <si>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</si>
  <si>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</si>
  <si>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</si>
  <si>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</si>
  <si>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</si>
  <si>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</si>
  <si>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</si>
  <si>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</si>
  <si>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</si>
  <si>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</si>
  <si>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</si>
  <si>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</si>
  <si>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</si>
  <si>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</si>
  <si>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</si>
  <si>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</si>
  <si>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</si>
  <si>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</si>
  <si>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</si>
  <si>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</si>
  <si>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</si>
  <si>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</si>
  <si>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</si>
  <si>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</si>
  <si>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</si>
  <si>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</si>
  <si>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</si>
  <si>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</si>
  <si>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</si>
  <si>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</si>
  <si>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</si>
  <si>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</si>
  <si>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</si>
  <si>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</si>
  <si>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</si>
  <si>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</si>
  <si>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</si>
  <si>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</si>
  <si>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</si>
  <si>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</si>
  <si>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</si>
  <si>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</si>
  <si>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</si>
  <si>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</si>
  <si>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</si>
  <si>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</si>
  <si>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</si>
  <si>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</si>
  <si>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</si>
  <si>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</si>
  <si>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</si>
  <si>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</si>
  <si>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</si>
  <si>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</si>
  <si>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</si>
  <si>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</si>
  <si>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</si>
  <si>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</si>
  <si>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</si>
  <si>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</si>
  <si>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</si>
  <si>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</si>
  <si>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</si>
  <si>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</si>
  <si>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</si>
  <si>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</si>
  <si>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</si>
  <si>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</si>
  <si>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</si>
  <si>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</si>
  <si>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</si>
  <si>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</si>
  <si>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</si>
  <si>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</si>
  <si>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</si>
  <si>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</si>
  <si>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</si>
  <si>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</si>
  <si>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</si>
  <si>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</si>
  <si>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</si>
  <si>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</si>
  <si>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</si>
  <si>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</si>
  <si>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</si>
  <si>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</si>
  <si>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</si>
  <si>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</si>
  <si>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</si>
  <si>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</si>
  <si>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</si>
  <si>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</si>
  <si>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</si>
  <si>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</si>
  <si>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</si>
  <si>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</si>
  <si>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</si>
  <si>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</si>
  <si>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</si>
  <si>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</si>
  <si>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</si>
  <si>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</si>
  <si>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</si>
  <si>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</si>
  <si>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</si>
  <si>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</si>
  <si>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</si>
  <si>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</si>
  <si>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</si>
  <si>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</si>
  <si>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</si>
  <si>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</si>
  <si>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</si>
  <si>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</si>
  <si>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</si>
  <si>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</si>
  <si>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</si>
  <si>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</si>
  <si>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</si>
  <si>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</si>
  <si>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</si>
  <si>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</si>
  <si>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</si>
  <si>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</si>
  <si>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</si>
  <si>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</si>
  <si>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</si>
  <si>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</si>
  <si>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</si>
  <si>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</si>
  <si>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</si>
  <si>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</si>
  <si>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</si>
  <si>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</si>
  <si>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</si>
  <si>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</si>
  <si>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</si>
  <si>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</si>
  <si>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</si>
  <si>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</si>
  <si>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</si>
  <si>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</si>
  <si>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</si>
  <si>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</si>
  <si>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</si>
  <si>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</si>
  <si>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</si>
  <si>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</si>
  <si>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</si>
  <si>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</si>
  <si>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</si>
  <si>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</si>
  <si>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</si>
  <si>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</si>
  <si>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</si>
  <si>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</si>
  <si>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</si>
  <si>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</si>
  <si>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</si>
  <si>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</si>
  <si>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</si>
  <si>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</si>
  <si>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</si>
  <si>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</si>
  <si>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</si>
  <si>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</si>
  <si>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</si>
  <si>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</si>
  <si>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</si>
  <si>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</si>
  <si>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</si>
  <si>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</si>
  <si>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</si>
  <si>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</si>
  <si>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</si>
  <si>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</si>
  <si>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</si>
  <si>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</si>
  <si>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</si>
  <si>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</si>
  <si>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</si>
  <si>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</si>
  <si>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</si>
  <si>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</si>
  <si>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</si>
  <si>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</si>
  <si>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</si>
  <si>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</si>
  <si>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</si>
  <si>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</si>
  <si>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</si>
  <si>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</si>
  <si>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</si>
  <si>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</si>
  <si>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</si>
  <si>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</si>
  <si>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</si>
  <si>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</si>
  <si>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</si>
  <si>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</si>
  <si>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</si>
  <si>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</si>
  <si>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</si>
  <si>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</si>
  <si>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</si>
  <si>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</si>
  <si>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</si>
  <si>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</si>
  <si>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</si>
  <si>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</si>
  <si>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</si>
  <si>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</si>
  <si>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</si>
  <si>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</si>
  <si>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</si>
  <si>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</si>
  <si>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</si>
  <si>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</si>
  <si>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</si>
  <si>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</si>
  <si>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</si>
  <si>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</si>
  <si>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</si>
  <si>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</si>
  <si>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</si>
  <si>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</si>
  <si>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</si>
  <si>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</si>
  <si>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</si>
  <si>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</si>
  <si>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</si>
  <si>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</si>
  <si>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</si>
  <si>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</si>
  <si>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</si>
  <si>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</si>
  <si>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</si>
  <si>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</si>
  <si>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</si>
  <si>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</si>
  <si>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</si>
  <si>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</si>
  <si>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</si>
  <si>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</si>
  <si>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</si>
  <si>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</si>
  <si>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</si>
  <si>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</si>
  <si>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</si>
  <si>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</si>
  <si>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</si>
  <si>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</si>
  <si>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</si>
  <si>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</si>
  <si>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</si>
  <si>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</si>
  <si>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</si>
  <si>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</si>
  <si>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</si>
  <si>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</si>
  <si>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</si>
  <si>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</si>
  <si>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</si>
  <si>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</si>
  <si>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</si>
  <si>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</si>
  <si>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</si>
  <si>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</si>
  <si>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</si>
  <si>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</si>
  <si>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</si>
  <si>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</si>
  <si>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</si>
  <si>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</si>
  <si>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</si>
  <si>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</si>
  <si>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</si>
  <si>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</si>
  <si>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</si>
  <si>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</si>
  <si>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</si>
  <si>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</si>
  <si>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</si>
  <si>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</si>
  <si>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</si>
  <si>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</si>
  <si>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</si>
  <si>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</si>
  <si>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</si>
  <si>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</si>
  <si>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</si>
  <si>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</si>
  <si>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</si>
  <si>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</si>
  <si>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</si>
  <si>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</si>
  <si>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</si>
  <si>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</si>
  <si>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</si>
  <si>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</si>
  <si>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</si>
  <si>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</si>
  <si>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</si>
  <si>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</si>
  <si>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</si>
  <si>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</si>
  <si>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</si>
  <si>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</si>
  <si>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</si>
  <si>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</si>
  <si>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</si>
  <si>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</si>
  <si>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</si>
  <si>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</si>
  <si>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</si>
  <si>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</si>
  <si>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</si>
  <si>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</si>
  <si>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</si>
  <si>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</si>
  <si>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</si>
  <si>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</si>
  <si>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</si>
  <si>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</si>
  <si>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</si>
  <si>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</si>
  <si>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</si>
  <si>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</si>
  <si>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</si>
  <si>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</si>
  <si>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</si>
  <si>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</si>
  <si>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</si>
  <si>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</si>
  <si>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</si>
  <si>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</si>
  <si>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</si>
  <si>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</si>
  <si>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</si>
  <si>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</si>
  <si>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</si>
  <si>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</si>
  <si>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</si>
  <si>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</si>
  <si>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</si>
  <si>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</si>
  <si>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</si>
  <si>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</si>
  <si>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</si>
  <si>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</si>
  <si>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</si>
  <si>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</si>
  <si>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</si>
  <si>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</si>
  <si>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</si>
  <si>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</si>
  <si>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</si>
  <si>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</si>
  <si>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</si>
  <si>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</si>
  <si>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</si>
  <si>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</si>
  <si>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</si>
  <si>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</si>
  <si>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</si>
  <si>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</si>
  <si>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</si>
  <si>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</si>
  <si>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</si>
  <si>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</si>
  <si>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</si>
  <si>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</si>
  <si>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</si>
  <si>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</si>
  <si>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</si>
  <si>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</si>
  <si>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</si>
  <si>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</si>
  <si>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</si>
  <si>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</si>
  <si>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</si>
  <si>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</si>
  <si>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</si>
  <si>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</si>
  <si>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</si>
  <si>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</si>
  <si>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</si>
  <si>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</si>
  <si>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</si>
  <si>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</si>
  <si>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</si>
  <si>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</si>
  <si>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</si>
  <si>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</si>
  <si>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</si>
  <si>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</si>
  <si>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</si>
  <si>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</si>
  <si>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</si>
  <si>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</si>
  <si>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</si>
  <si>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</si>
  <si>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</si>
  <si>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</si>
  <si>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</si>
  <si>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</si>
  <si>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</si>
  <si>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</si>
  <si>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</si>
  <si>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</si>
  <si>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</si>
  <si>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</si>
  <si>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</si>
  <si>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</si>
  <si>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</si>
  <si>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</si>
  <si>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</si>
  <si>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</si>
  <si>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</si>
  <si>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</si>
  <si>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</si>
  <si>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</si>
  <si>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</si>
  <si>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</si>
  <si>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</si>
  <si>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</si>
  <si>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</si>
  <si>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</si>
  <si>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</si>
  <si>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</si>
  <si>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</si>
  <si>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</si>
  <si>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</si>
  <si>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</si>
  <si>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</si>
  <si>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</si>
  <si>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</si>
  <si>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</si>
  <si>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</si>
  <si>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</si>
  <si>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</si>
  <si>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</si>
  <si>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</si>
  <si>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</si>
  <si>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</si>
  <si>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</si>
  <si>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</si>
  <si>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</si>
  <si>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</si>
  <si>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</si>
  <si>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</si>
  <si>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</si>
  <si>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</si>
  <si>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</si>
  <si>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</si>
  <si>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</si>
  <si>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</si>
  <si>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</si>
  <si>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</si>
  <si>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</si>
  <si>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</si>
  <si>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</si>
  <si>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</si>
  <si>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</si>
  <si>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</si>
  <si>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</si>
  <si>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</si>
  <si>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</si>
  <si>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</si>
  <si>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</si>
  <si>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</si>
  <si>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</si>
  <si>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</si>
  <si>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</si>
  <si>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</si>
  <si>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</si>
  <si>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</si>
  <si>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</si>
  <si>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</si>
  <si>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</si>
  <si>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</si>
  <si>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</si>
  <si>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</si>
  <si>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</si>
  <si>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</si>
  <si>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</si>
  <si>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</si>
  <si>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</si>
  <si>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</si>
  <si>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</si>
  <si>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</si>
  <si>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</si>
  <si>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</si>
  <si>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</si>
  <si>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</si>
  <si>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</si>
  <si>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</si>
  <si>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</si>
  <si>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</si>
  <si>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</si>
  <si>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</si>
  <si>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</si>
  <si>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</si>
  <si>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</si>
  <si>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</si>
  <si>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</si>
  <si>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</si>
  <si>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</si>
  <si>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</si>
  <si>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</si>
  <si>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</si>
  <si>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</si>
  <si>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</si>
  <si>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</si>
  <si>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</si>
  <si>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</si>
  <si>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</si>
  <si>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</si>
  <si>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</si>
  <si>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</si>
  <si>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</si>
  <si>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</si>
  <si>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</si>
  <si>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</si>
  <si>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</si>
  <si>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</si>
  <si>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</si>
  <si>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</si>
  <si>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</si>
  <si>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</si>
  <si>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</si>
  <si>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</si>
  <si>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</si>
  <si>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</si>
  <si>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</si>
  <si>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</si>
  <si>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</si>
  <si>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</si>
  <si>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</si>
  <si>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</si>
  <si>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</si>
  <si>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</si>
  <si>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</si>
  <si>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</si>
  <si>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</si>
  <si>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</si>
  <si>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</si>
  <si>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</si>
  <si>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</si>
  <si>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</si>
  <si>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</si>
  <si>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</si>
  <si>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</si>
  <si>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</si>
  <si>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</si>
  <si>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</si>
  <si>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</si>
  <si>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</si>
  <si>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</si>
  <si>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</si>
  <si>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</si>
  <si>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</si>
  <si>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</si>
  <si>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</si>
  <si>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</si>
  <si>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</si>
  <si>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</si>
  <si>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</si>
  <si>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</si>
  <si>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</si>
  <si>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</si>
  <si>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</si>
  <si>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</si>
  <si>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</si>
  <si>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</si>
  <si>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</si>
  <si>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</si>
  <si>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</si>
  <si>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</si>
  <si>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</si>
  <si>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</si>
  <si>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</si>
  <si>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</si>
  <si>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</si>
  <si>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</si>
  <si>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</si>
  <si>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</si>
  <si>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</si>
  <si>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</si>
  <si>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</si>
  <si>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</si>
  <si>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</si>
  <si>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</si>
  <si>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</si>
  <si>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</si>
  <si>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</si>
  <si>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</si>
  <si>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</si>
  <si>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</si>
  <si>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</si>
  <si>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</si>
  <si>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</si>
  <si>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</si>
  <si>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</si>
  <si>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</si>
  <si>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</si>
  <si>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</si>
  <si>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</si>
  <si>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</si>
  <si>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</si>
  <si>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</si>
  <si>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</si>
  <si>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</si>
  <si>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</si>
  <si>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</si>
  <si>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</si>
  <si>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</si>
  <si>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</si>
  <si>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</si>
  <si>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</si>
  <si>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</si>
  <si>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</si>
  <si>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</si>
  <si>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</si>
  <si>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</si>
  <si>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</si>
  <si>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</si>
  <si>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</si>
  <si>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</si>
  <si>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</si>
  <si>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</si>
  <si>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</si>
  <si>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</si>
  <si>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</si>
  <si>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</si>
  <si>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</si>
  <si>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</si>
  <si>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</si>
  <si>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</si>
  <si>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</si>
  <si>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</si>
  <si>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</si>
  <si>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</si>
  <si>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</si>
  <si>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</si>
  <si>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</si>
  <si>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</si>
  <si>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</si>
  <si>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</si>
  <si>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</si>
  <si>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</si>
  <si>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</si>
  <si>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</si>
  <si>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</si>
  <si>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</si>
  <si>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</si>
  <si>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</si>
  <si>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</si>
  <si>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</si>
  <si>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</si>
  <si>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</si>
  <si>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</si>
  <si>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</si>
  <si>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</si>
  <si>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</si>
  <si>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</si>
  <si>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</si>
  <si>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</si>
  <si>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</si>
  <si>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</si>
  <si>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</si>
  <si>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</si>
  <si>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</si>
  <si>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</si>
  <si>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</si>
  <si>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</si>
  <si>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</si>
  <si>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</si>
  <si>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</si>
  <si>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</si>
  <si>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</si>
  <si>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</si>
  <si>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</si>
  <si>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</si>
  <si>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</si>
  <si>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</si>
  <si>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</si>
  <si>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</si>
  <si>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</si>
  <si>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</si>
  <si>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</si>
  <si>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</si>
  <si>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</si>
  <si>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</si>
  <si>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</si>
  <si>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</si>
  <si>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</si>
  <si>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</si>
  <si>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</si>
  <si>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</si>
  <si>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</si>
  <si>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</si>
  <si>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</si>
  <si>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</si>
  <si>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</si>
  <si>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</si>
  <si>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</si>
  <si>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</si>
  <si>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</si>
  <si>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</si>
  <si>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</si>
  <si>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</si>
  <si>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</si>
  <si>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</si>
  <si>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</si>
  <si>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</si>
  <si>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</si>
  <si>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</si>
  <si>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</si>
  <si>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</si>
  <si>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</si>
  <si>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</si>
  <si>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</si>
  <si>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</si>
  <si>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</si>
  <si>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</si>
  <si>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</si>
  <si>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</si>
  <si>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</si>
  <si>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</si>
  <si>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</si>
  <si>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</si>
  <si>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</si>
  <si>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</si>
  <si>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</si>
  <si>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</si>
  <si>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</si>
  <si>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</si>
  <si>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</si>
  <si>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</si>
  <si>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</si>
  <si>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</si>
  <si>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</si>
  <si>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</si>
  <si>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</si>
  <si>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</si>
  <si>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</si>
  <si>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</si>
  <si>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</si>
  <si>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</si>
  <si>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</si>
  <si>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</si>
  <si>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</si>
  <si>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</si>
  <si>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</si>
  <si>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</si>
  <si>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</si>
  <si>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</si>
  <si>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</si>
  <si>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</si>
  <si>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</si>
  <si>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</si>
  <si>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</si>
  <si>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</si>
  <si>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</si>
  <si>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</si>
  <si>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</si>
  <si>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</si>
  <si>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</si>
  <si>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</si>
  <si>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</si>
  <si>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</si>
  <si>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</si>
  <si>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</si>
  <si>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</si>
  <si>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</si>
  <si>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</si>
  <si>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</si>
  <si>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</si>
  <si>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</si>
  <si>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</si>
  <si>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</si>
  <si>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</si>
  <si>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</si>
  <si>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</si>
  <si>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</si>
  <si>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</si>
  <si>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</si>
  <si>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</si>
  <si>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</si>
  <si>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</si>
  <si>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</si>
  <si>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</si>
  <si>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</si>
  <si>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</si>
  <si>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</si>
  <si>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</si>
  <si>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</si>
  <si>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</si>
  <si>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</si>
  <si>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</si>
  <si>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</si>
  <si>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</si>
  <si>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</si>
  <si>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</si>
  <si>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</si>
  <si>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</si>
  <si>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</si>
  <si>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</si>
  <si>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</si>
  <si>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</si>
  <si>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</si>
  <si>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</si>
  <si>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</si>
  <si>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</si>
  <si>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</si>
  <si>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</si>
  <si>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</si>
  <si>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</si>
  <si>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</si>
  <si>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</si>
  <si>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</si>
  <si>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</si>
  <si>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</si>
  <si>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</si>
  <si>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</si>
  <si>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</si>
  <si>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</si>
  <si>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</si>
  <si>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</si>
  <si>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</si>
  <si>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</si>
  <si>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</si>
  <si>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</si>
  <si>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</si>
  <si>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</si>
  <si>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</si>
  <si>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</si>
  <si>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</si>
  <si>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</si>
  <si>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</si>
  <si>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</si>
  <si>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</si>
  <si>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</si>
  <si>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</si>
  <si>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</si>
  <si>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</si>
  <si>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</si>
  <si>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</si>
  <si>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</si>
  <si>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</si>
  <si>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</si>
  <si>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</si>
  <si>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</si>
  <si>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</si>
  <si>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</si>
  <si>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</si>
  <si>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</si>
  <si>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</si>
  <si>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</si>
  <si>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</si>
  <si>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</si>
  <si>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</si>
  <si>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</si>
  <si>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</si>
  <si>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</si>
  <si>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</si>
  <si>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</si>
  <si>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</si>
  <si>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</si>
  <si>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</si>
  <si>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</si>
  <si>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</si>
  <si>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</si>
  <si>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</si>
  <si>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</si>
  <si>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</si>
  <si>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</si>
  <si>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</si>
  <si>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</si>
  <si>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</si>
  <si>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</si>
  <si>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</si>
  <si>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</si>
  <si>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</si>
  <si>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</si>
  <si>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</si>
  <si>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</si>
  <si>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</si>
  <si>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</si>
  <si>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</si>
  <si>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</si>
  <si>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</si>
  <si>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</si>
  <si>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</si>
  <si>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</si>
  <si>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</si>
  <si>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</si>
  <si>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</si>
  <si>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</si>
  <si>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</si>
  <si>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</si>
  <si>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</si>
  <si>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</si>
  <si>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</si>
  <si>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</si>
  <si>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</si>
  <si>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</si>
  <si>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</si>
  <si>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</si>
  <si>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</si>
  <si>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</si>
  <si>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</si>
  <si>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</si>
  <si>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</si>
  <si>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</si>
  <si>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</si>
  <si>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</si>
  <si>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</si>
  <si>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</si>
  <si>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</si>
  <si>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</si>
  <si>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</si>
  <si>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</si>
  <si>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</si>
  <si>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</si>
  <si>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</si>
  <si>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</si>
  <si>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</si>
  <si>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</si>
  <si>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</si>
  <si>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</si>
  <si>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</si>
  <si>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</si>
  <si>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</si>
  <si>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</si>
  <si>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</si>
  <si>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</si>
  <si>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</si>
  <si>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</si>
  <si>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</si>
  <si>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</si>
  <si>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</si>
  <si>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</si>
  <si>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</si>
  <si>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</si>
  <si>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</si>
  <si>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</si>
  <si>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</si>
  <si>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</si>
  <si>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</si>
  <si>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</si>
  <si>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</si>
  <si>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</si>
  <si>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</si>
  <si>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</si>
  <si>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</si>
  <si>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</si>
  <si>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</si>
  <si>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</si>
  <si>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</si>
  <si>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</si>
  <si>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</si>
  <si>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</si>
  <si>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</si>
  <si>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</si>
  <si>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</si>
  <si>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</si>
  <si>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</si>
  <si>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</si>
  <si>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</si>
  <si>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</si>
  <si>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</si>
  <si>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</si>
  <si>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</si>
  <si>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</si>
  <si>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</si>
  <si>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</si>
  <si>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</si>
  <si>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</si>
  <si>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</si>
  <si>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</si>
  <si>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</si>
  <si>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</si>
  <si>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</si>
  <si>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</si>
  <si>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</si>
  <si>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</si>
  <si>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</si>
  <si>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</si>
  <si>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</si>
  <si>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</si>
  <si>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</si>
  <si>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</si>
  <si>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</si>
  <si>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</si>
  <si>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</si>
  <si>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</si>
  <si>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</si>
  <si>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</si>
  <si>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</si>
  <si>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</si>
  <si>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</si>
  <si>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</si>
  <si>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</si>
  <si>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</si>
  <si>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</si>
  <si>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</si>
  <si>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</si>
  <si>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</si>
  <si>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</si>
  <si>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</si>
  <si>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</si>
  <si>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</si>
  <si>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</si>
  <si>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</si>
  <si>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</si>
  <si>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</si>
  <si>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</si>
  <si>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</si>
  <si>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</si>
  <si>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</si>
  <si>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</si>
  <si>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</si>
  <si>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</si>
  <si>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</si>
  <si>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</si>
  <si>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</si>
  <si>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</si>
  <si>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</si>
  <si>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</si>
  <si>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</si>
  <si>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</si>
  <si>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</si>
  <si>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</si>
  <si>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</si>
  <si>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</si>
  <si>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</si>
  <si>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</si>
  <si>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</si>
  <si>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</si>
  <si>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</si>
  <si>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</si>
  <si>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</si>
  <si>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</si>
  <si>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</si>
  <si>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</si>
  <si>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</si>
  <si>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</si>
  <si>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</si>
  <si>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</si>
  <si>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</si>
  <si>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</si>
  <si>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</si>
  <si>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</si>
  <si>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</si>
  <si>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</si>
  <si>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</si>
  <si>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</si>
  <si>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</si>
  <si>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</si>
  <si>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</si>
  <si>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</si>
  <si>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</si>
  <si>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</si>
  <si>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</si>
  <si>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</si>
  <si>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</si>
  <si>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</si>
  <si>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</si>
  <si>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</si>
  <si>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</si>
  <si>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</si>
  <si>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</si>
  <si>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</si>
  <si>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</si>
  <si>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</si>
  <si>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</si>
  <si>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</si>
  <si>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</si>
  <si>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</si>
  <si>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</si>
  <si>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</si>
  <si>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</si>
  <si>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</si>
  <si>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</si>
  <si>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</si>
  <si>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</si>
  <si>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</si>
  <si>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</si>
  <si>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</si>
  <si>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</si>
  <si>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</si>
  <si>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</si>
  <si>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</si>
  <si>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</si>
  <si>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</si>
  <si>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</si>
  <si>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</si>
  <si>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</si>
  <si>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</si>
  <si>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</si>
  <si>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</si>
  <si>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</si>
  <si>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</si>
  <si>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</si>
  <si>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</si>
  <si>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</si>
  <si>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</si>
  <si>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</si>
  <si>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</si>
  <si>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</si>
  <si>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</si>
  <si>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</si>
  <si>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</si>
  <si>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</si>
  <si>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</si>
  <si>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</si>
  <si>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</si>
  <si>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</si>
  <si>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</si>
  <si>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</si>
  <si>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</si>
  <si>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</si>
  <si>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</si>
  <si>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</si>
  <si>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</si>
  <si>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</si>
  <si>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</si>
  <si>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</si>
  <si>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</si>
  <si>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</si>
  <si>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</si>
  <si>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</si>
  <si>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</si>
  <si>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</si>
  <si>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</si>
  <si>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</si>
  <si>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</si>
  <si>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</si>
  <si>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</si>
  <si>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</si>
  <si>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</si>
  <si>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</si>
  <si>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</si>
  <si>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</si>
  <si>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</si>
  <si>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</si>
  <si>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</si>
  <si>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</si>
  <si>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</si>
  <si>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</si>
  <si>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</si>
  <si>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</si>
  <si>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</si>
  <si>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</si>
  <si>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</si>
  <si>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</si>
  <si>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</si>
  <si>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</si>
  <si>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</si>
  <si>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</si>
  <si>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</si>
  <si>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</si>
  <si>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</si>
  <si>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</si>
  <si>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</si>
  <si>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</si>
  <si>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</si>
  <si>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</si>
  <si>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</si>
  <si>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</si>
  <si>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</si>
  <si>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</si>
  <si>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</si>
  <si>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</si>
  <si>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</si>
  <si>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</si>
  <si>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</si>
  <si>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</si>
  <si>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</si>
  <si>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</si>
  <si>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</si>
  <si>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</si>
  <si>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</si>
  <si>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</si>
  <si>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</si>
  <si>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</si>
  <si>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</si>
  <si>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</si>
  <si>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</si>
  <si>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</si>
  <si>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</si>
  <si>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</si>
  <si>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</si>
  <si>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</si>
  <si>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</si>
  <si>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</si>
  <si>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</si>
  <si>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</si>
  <si>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</si>
  <si>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</si>
  <si>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</si>
  <si>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</si>
  <si>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</si>
  <si>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</si>
  <si>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</si>
  <si>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</si>
  <si>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</si>
  <si>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</si>
  <si>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</si>
  <si>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</si>
  <si>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</si>
  <si>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</si>
  <si>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</si>
  <si>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</si>
  <si>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</si>
  <si>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</si>
  <si>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</si>
  <si>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</si>
  <si>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</si>
  <si>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</si>
  <si>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</si>
  <si>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</si>
  <si>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</si>
  <si>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</si>
  <si>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</si>
  <si>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</si>
  <si>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</si>
  <si>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</si>
  <si>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</si>
  <si>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</si>
  <si>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</si>
  <si>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</si>
  <si>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</si>
  <si>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</si>
  <si>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</si>
  <si>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</si>
  <si>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</si>
  <si>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</si>
  <si>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</si>
  <si>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</si>
  <si>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</si>
  <si>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</si>
  <si>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</si>
  <si>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</si>
  <si>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</si>
  <si>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</si>
  <si>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</si>
  <si>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</si>
  <si>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</si>
  <si>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</si>
  <si>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</si>
  <si>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</si>
  <si>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</si>
  <si>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</si>
  <si>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</si>
  <si>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</si>
  <si>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</si>
  <si>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</si>
  <si>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</si>
  <si>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</si>
  <si>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</si>
  <si>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</si>
  <si>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</si>
  <si>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</si>
  <si>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</si>
  <si>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</si>
  <si>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</si>
  <si>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</si>
  <si>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</si>
  <si>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</si>
  <si>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</si>
  <si>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</si>
  <si>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</si>
  <si>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</si>
  <si>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</si>
  <si>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</si>
  <si>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</si>
  <si>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</si>
  <si>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</si>
  <si>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</si>
  <si>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</si>
  <si>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</si>
  <si>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</si>
  <si>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</si>
  <si>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</si>
  <si>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</si>
  <si>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</si>
  <si>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</si>
  <si>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</si>
  <si>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</si>
  <si>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</si>
  <si>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</si>
  <si>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</si>
  <si>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</si>
  <si>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</si>
  <si>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</si>
  <si>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</si>
  <si>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</si>
  <si>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</si>
  <si>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</si>
  <si>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</si>
  <si>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</si>
  <si>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</si>
  <si>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</si>
  <si>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</si>
  <si>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</si>
  <si>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</si>
  <si>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</si>
  <si>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</si>
  <si>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</si>
  <si>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</si>
  <si>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</si>
  <si>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</si>
  <si>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</si>
  <si>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</si>
  <si>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</si>
  <si>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</si>
  <si>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</si>
  <si>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</si>
  <si>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</si>
  <si>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</si>
  <si>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</si>
  <si>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</si>
  <si>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</si>
  <si>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</si>
  <si>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</si>
  <si>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</si>
  <si>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</si>
  <si>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</si>
  <si>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</si>
  <si>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</si>
  <si>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</si>
  <si>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</si>
  <si>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</si>
  <si>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</si>
  <si>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</si>
  <si>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</si>
  <si>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</si>
  <si>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</si>
  <si>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</si>
  <si>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</si>
  <si>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</si>
  <si>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</si>
  <si>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</si>
  <si>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</si>
  <si>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</si>
  <si>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</si>
  <si>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</si>
  <si>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</si>
  <si>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</si>
  <si>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</si>
  <si>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</si>
  <si>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</si>
  <si>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</si>
  <si>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</si>
  <si>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</si>
  <si>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</si>
  <si>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</si>
  <si>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</si>
  <si>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</si>
  <si>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</si>
  <si>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</si>
  <si>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</si>
  <si>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</si>
  <si>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</si>
  <si>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</si>
  <si>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</si>
  <si>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</si>
  <si>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</si>
  <si>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</si>
  <si>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</si>
  <si>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</si>
  <si>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</si>
  <si>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</si>
  <si>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</si>
  <si>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</si>
  <si>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</si>
  <si>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</si>
  <si>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</si>
  <si>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</si>
  <si>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</si>
  <si>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</si>
  <si>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</si>
  <si>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</si>
  <si>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</si>
  <si>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</si>
  <si>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</si>
  <si>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</si>
  <si>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</si>
  <si>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</si>
  <si>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</si>
  <si>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</si>
  <si>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</si>
  <si>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</si>
  <si>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</si>
  <si>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</si>
  <si>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</si>
  <si>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</si>
  <si>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</si>
  <si>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</si>
  <si>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</si>
  <si>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</si>
  <si>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</si>
  <si>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</si>
  <si>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</si>
  <si>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</si>
  <si>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</si>
  <si>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</si>
  <si>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</si>
  <si>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</si>
  <si>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</si>
  <si>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</si>
  <si>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</si>
  <si>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</si>
  <si>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</si>
  <si>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</si>
  <si>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</si>
  <si>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</si>
  <si>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</si>
  <si>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</si>
  <si>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</si>
  <si>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</si>
  <si>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</si>
  <si>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</si>
  <si>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</si>
  <si>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</si>
  <si>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</si>
  <si>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</si>
  <si>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</si>
  <si>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</si>
  <si>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</si>
  <si>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</si>
  <si>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</si>
  <si>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</si>
  <si>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</si>
  <si>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</si>
  <si>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</si>
  <si>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</si>
  <si>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</si>
  <si>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</si>
  <si>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</si>
  <si>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</si>
  <si>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</si>
  <si>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</si>
  <si>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</si>
  <si>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</si>
  <si>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</si>
  <si>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</si>
  <si>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</si>
  <si>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</si>
  <si>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</si>
  <si>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</si>
  <si>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</si>
  <si>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</si>
  <si>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</si>
  <si>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</si>
  <si>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</si>
  <si>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</si>
  <si>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</si>
  <si>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</si>
  <si>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</si>
  <si>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</si>
  <si>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</si>
  <si>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</si>
  <si>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</si>
  <si>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</si>
  <si>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</si>
  <si>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</si>
  <si>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</si>
  <si>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</si>
  <si>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</si>
  <si>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</si>
  <si>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</si>
  <si>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</si>
  <si>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</si>
  <si>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</si>
  <si>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</si>
  <si>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</si>
  <si>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</si>
  <si>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</si>
  <si>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</si>
  <si>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</si>
  <si>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</si>
  <si>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</si>
  <si>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</si>
  <si>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</si>
  <si>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</si>
  <si>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</si>
  <si>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</si>
  <si>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</si>
  <si>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</si>
  <si>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</si>
  <si>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</si>
  <si>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</si>
  <si>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</si>
  <si>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</si>
  <si>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</si>
  <si>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</si>
  <si>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</si>
  <si>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</si>
  <si>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</si>
  <si>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</si>
  <si>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</si>
  <si>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</si>
  <si>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</si>
  <si>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</si>
  <si>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</si>
  <si>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</si>
  <si>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</si>
  <si>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</si>
  <si>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</si>
  <si>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</si>
  <si>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</si>
  <si>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</si>
  <si>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</si>
  <si>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</si>
  <si>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</si>
  <si>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</si>
  <si>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</si>
  <si>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</si>
  <si>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</si>
  <si>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</si>
  <si>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</si>
  <si>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</si>
  <si>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</si>
  <si>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</si>
  <si>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</si>
  <si>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</si>
  <si>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</si>
  <si>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</si>
  <si>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</si>
  <si>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</si>
  <si>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</si>
  <si>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</si>
  <si>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</si>
  <si>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</si>
  <si>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</si>
  <si>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</si>
  <si>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</si>
  <si>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</si>
  <si>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</si>
  <si>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</si>
  <si>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</si>
  <si>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</si>
  <si>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</si>
  <si>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</si>
  <si>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</si>
  <si>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</si>
  <si>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</si>
  <si>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</si>
  <si>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</si>
  <si>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</si>
  <si>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</si>
  <si>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</si>
  <si>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</si>
  <si>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</si>
  <si>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</si>
  <si>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</si>
  <si>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</si>
  <si>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</si>
  <si>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</si>
  <si>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</si>
  <si>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</si>
  <si>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</si>
  <si>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</si>
  <si>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</si>
  <si>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</si>
  <si>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</si>
  <si>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</si>
  <si>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</si>
  <si>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</si>
  <si>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</si>
  <si>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</si>
  <si>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</si>
  <si>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</si>
  <si>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</si>
  <si>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</si>
  <si>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</si>
  <si>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</si>
  <si>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</si>
  <si>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</si>
  <si>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</si>
  <si>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</si>
  <si>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</si>
  <si>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</si>
  <si>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</si>
  <si>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</si>
  <si>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</si>
  <si>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</si>
  <si>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</si>
  <si>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</si>
  <si>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</si>
  <si>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</si>
  <si>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</si>
  <si>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</si>
  <si>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</si>
  <si>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</si>
  <si>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</si>
  <si>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</si>
  <si>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</si>
  <si>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</si>
  <si>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</si>
  <si>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</si>
  <si>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</si>
  <si>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</si>
  <si>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</si>
  <si>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</si>
  <si>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</si>
  <si>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</si>
  <si>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</si>
  <si>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</si>
  <si>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</si>
  <si>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</si>
  <si>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</si>
  <si>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</si>
  <si>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</si>
  <si>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</si>
  <si>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</si>
  <si>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</si>
  <si>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</si>
  <si>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</si>
  <si>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</si>
  <si>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</si>
  <si>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</si>
  <si>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</si>
  <si>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</si>
  <si>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</si>
  <si>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</si>
  <si>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</si>
  <si>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</si>
  <si>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</si>
  <si>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</si>
  <si>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</si>
  <si>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</si>
  <si>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</si>
  <si>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</si>
  <si>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</si>
  <si>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</si>
  <si>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</si>
  <si>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</si>
  <si>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</si>
  <si>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</si>
  <si>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</si>
  <si>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</si>
  <si>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</si>
  <si>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</si>
  <si>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</si>
  <si>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</si>
  <si>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</si>
  <si>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</si>
  <si>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</si>
  <si>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</si>
  <si>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</si>
  <si>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</si>
  <si>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</si>
  <si>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</si>
  <si>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</si>
  <si>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</si>
  <si>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</si>
  <si>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</si>
  <si>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</si>
  <si>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</si>
  <si>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</si>
  <si>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</si>
  <si>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</si>
  <si>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</si>
  <si>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</si>
  <si>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</si>
  <si>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</si>
  <si>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</si>
  <si>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</si>
  <si>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</si>
  <si>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</si>
  <si>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</si>
  <si>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</si>
  <si>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</si>
  <si>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</si>
  <si>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</si>
  <si>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</si>
  <si>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</si>
  <si>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</si>
  <si>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</si>
  <si>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</si>
  <si>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</si>
  <si>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</si>
  <si>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</si>
  <si>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</si>
  <si>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</si>
  <si>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</si>
  <si>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</si>
  <si>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</si>
  <si>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</si>
  <si>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</si>
  <si>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</si>
  <si>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</si>
  <si>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</si>
  <si>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</si>
  <si>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</si>
  <si>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</si>
  <si>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</si>
  <si>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</si>
  <si>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</si>
  <si>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</si>
  <si>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</si>
  <si>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</si>
  <si>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</si>
  <si>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</si>
  <si>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</si>
  <si>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</si>
  <si>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</si>
  <si>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</si>
  <si>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</si>
  <si>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</si>
  <si>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</si>
  <si>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</si>
  <si>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</si>
  <si>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</si>
  <si>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</si>
  <si>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</si>
  <si>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</si>
  <si>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</si>
  <si>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</si>
  <si>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</si>
  <si>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</si>
  <si>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</si>
  <si>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</si>
  <si>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</si>
  <si>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</si>
  <si>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</si>
  <si>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</si>
  <si>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</si>
  <si>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</si>
  <si>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</si>
  <si>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</si>
  <si>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</si>
  <si>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</si>
  <si>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</si>
  <si>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</si>
  <si>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</si>
  <si>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</si>
  <si>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</si>
  <si>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</si>
  <si>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</si>
  <si>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</si>
  <si>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</si>
  <si>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</si>
  <si>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</si>
  <si>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</si>
  <si>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</si>
  <si>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</si>
  <si>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</si>
  <si>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</si>
  <si>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</si>
  <si>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</si>
  <si>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</si>
  <si>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</si>
  <si>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</si>
  <si>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</si>
  <si>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</si>
  <si>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</si>
  <si>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</si>
  <si>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</si>
  <si>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</si>
  <si>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</si>
  <si>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</si>
  <si>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</si>
  <si>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</si>
  <si>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</si>
  <si>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</si>
  <si>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</si>
  <si>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</si>
  <si>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</si>
  <si>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</si>
  <si>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</si>
  <si>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</si>
  <si>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</si>
  <si>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</si>
  <si>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</si>
  <si>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</si>
  <si>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</si>
  <si>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</si>
  <si>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</si>
  <si>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</si>
  <si>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</si>
  <si>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</si>
  <si>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</si>
  <si>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</si>
  <si>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</si>
  <si>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</si>
  <si>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</si>
  <si>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</si>
  <si>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</si>
  <si>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</si>
  <si>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</si>
  <si>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</si>
  <si>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</si>
  <si>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</si>
  <si>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</si>
  <si>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</si>
  <si>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</si>
  <si>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</si>
  <si>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</si>
  <si>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</si>
  <si>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</si>
  <si>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</si>
  <si>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</si>
  <si>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</si>
  <si>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</si>
  <si>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</si>
  <si>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</si>
  <si>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</si>
  <si>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</si>
  <si>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</si>
  <si>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</si>
  <si>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</si>
  <si>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</si>
  <si>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</si>
  <si>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</si>
  <si>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</si>
  <si>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</si>
  <si>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</si>
  <si>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</si>
  <si>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</si>
  <si>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</si>
  <si>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</si>
  <si>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</si>
  <si>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</si>
  <si>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</si>
  <si>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</si>
  <si>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</si>
  <si>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</si>
  <si>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</si>
  <si>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</si>
  <si>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</si>
  <si>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</si>
  <si>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</si>
  <si>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</si>
  <si>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</si>
  <si>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</si>
  <si>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</si>
  <si>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</si>
  <si>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</si>
  <si>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</si>
  <si>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</si>
  <si>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</si>
  <si>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</si>
  <si>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</si>
  <si>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</si>
  <si>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</si>
  <si>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</si>
  <si>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</si>
  <si>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</si>
  <si>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</si>
  <si>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</si>
  <si>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</si>
  <si>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</si>
  <si>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</si>
  <si>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</si>
  <si>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</si>
  <si>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</si>
  <si>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</si>
  <si>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</si>
  <si>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</si>
  <si>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</si>
  <si>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</si>
  <si>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</si>
  <si>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</si>
  <si>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</si>
  <si>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</si>
  <si>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</si>
  <si>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</si>
  <si>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</si>
  <si>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</si>
  <si>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</si>
  <si>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</si>
  <si>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</si>
  <si>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</si>
  <si>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</si>
  <si>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</si>
  <si>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</si>
  <si>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</si>
  <si>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</si>
  <si>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</si>
  <si>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</si>
  <si>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</si>
  <si>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</si>
  <si>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</si>
  <si>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</si>
  <si>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</si>
  <si>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</si>
  <si>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</si>
  <si>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</si>
  <si>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</si>
  <si>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</si>
  <si>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</si>
  <si>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</si>
  <si>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</si>
  <si>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</si>
  <si>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</si>
  <si>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</si>
  <si>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</si>
  <si>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</si>
  <si>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</si>
  <si>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</si>
  <si>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</si>
  <si>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</si>
  <si>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</si>
  <si>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</si>
  <si>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</si>
  <si>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</si>
  <si>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</si>
  <si>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</si>
  <si>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</si>
  <si>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</si>
  <si>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</si>
  <si>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</si>
  <si>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</si>
  <si>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</si>
  <si>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</si>
  <si>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</si>
  <si>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</si>
  <si>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</si>
  <si>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</si>
  <si>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</si>
  <si>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</si>
  <si>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</si>
  <si>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</si>
  <si>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</si>
  <si>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</si>
  <si>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</si>
  <si>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</si>
  <si>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</si>
  <si>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</si>
  <si>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</si>
  <si>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</si>
  <si>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</si>
  <si>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</si>
  <si>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</si>
  <si>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</si>
  <si>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</si>
  <si>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</si>
  <si>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</si>
  <si>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</si>
  <si>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</si>
  <si>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</si>
  <si>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</si>
  <si>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</si>
  <si>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</si>
  <si>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</si>
  <si>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</si>
  <si>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</si>
  <si>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</si>
  <si>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</si>
  <si>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</si>
  <si>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</si>
  <si>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</si>
  <si>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</si>
  <si>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</si>
  <si>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</si>
  <si>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</si>
  <si>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</si>
  <si>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</si>
  <si>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</si>
  <si>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</si>
  <si>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</si>
  <si>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</si>
  <si>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</si>
  <si>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</si>
  <si>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</si>
  <si>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</si>
  <si>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</si>
  <si>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</si>
  <si>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</si>
  <si>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</si>
  <si>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</si>
  <si>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</si>
  <si>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</si>
  <si>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</si>
  <si>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</si>
  <si>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</si>
  <si>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</si>
  <si>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</si>
  <si>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</si>
  <si>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</si>
  <si>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</si>
  <si>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</si>
  <si>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</si>
  <si>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</si>
  <si>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</si>
  <si>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</si>
  <si>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</si>
  <si>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</si>
  <si>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</si>
  <si>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</si>
  <si>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</si>
  <si>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</si>
  <si>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</si>
  <si>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</si>
  <si>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</si>
  <si>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</si>
  <si>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</si>
  <si>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</si>
  <si>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</si>
  <si>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</si>
  <si>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</si>
  <si>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</si>
  <si>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</si>
  <si>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</si>
  <si>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</si>
  <si>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</si>
  <si>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</si>
  <si>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</si>
  <si>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</si>
  <si>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</si>
  <si>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</si>
  <si>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</si>
  <si>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</si>
  <si>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</si>
  <si>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</si>
  <si>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</si>
  <si>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</si>
  <si>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</si>
  <si>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</si>
  <si>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</si>
  <si>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</si>
  <si>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</si>
  <si>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</si>
  <si>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</si>
  <si>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</si>
  <si>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</si>
  <si>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</si>
  <si>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</si>
  <si>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</si>
  <si>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</si>
  <si>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</si>
  <si>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</si>
  <si>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</si>
  <si>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</si>
  <si>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</si>
  <si>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</si>
  <si>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</si>
  <si>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</si>
  <si>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</si>
  <si>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</si>
  <si>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</si>
  <si>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</si>
  <si>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</si>
  <si>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</si>
  <si>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</si>
  <si>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</si>
  <si>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</si>
  <si>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</si>
  <si>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</si>
  <si>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</si>
  <si>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</si>
  <si>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</si>
  <si>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</si>
  <si>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</si>
  <si>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</si>
  <si>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</si>
  <si>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</si>
  <si>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</si>
  <si>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</si>
  <si>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</si>
  <si>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</si>
  <si>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</si>
  <si>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</si>
  <si>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</si>
  <si>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</si>
  <si>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</si>
  <si>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</si>
  <si>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</si>
  <si>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</si>
  <si>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</si>
  <si>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</si>
  <si>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</si>
  <si>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</si>
  <si>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</si>
  <si>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</si>
  <si>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</si>
  <si>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</si>
  <si>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</si>
  <si>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</si>
  <si>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</si>
  <si>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</si>
  <si>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</si>
  <si>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</si>
  <si>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</si>
  <si>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</si>
  <si>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</si>
  <si>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</si>
  <si>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</si>
  <si>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</si>
  <si>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</si>
  <si>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</si>
  <si>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</si>
  <si>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</si>
  <si>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</si>
  <si>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</si>
  <si>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</si>
  <si>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</si>
  <si>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</si>
  <si>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</si>
  <si>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</si>
  <si>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</si>
  <si>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</si>
  <si>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</si>
  <si>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</si>
  <si>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</si>
  <si>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</si>
  <si>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</si>
  <si>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</si>
  <si>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</si>
  <si>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</si>
  <si>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</si>
  <si>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</si>
  <si>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</si>
  <si>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</si>
  <si>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</si>
  <si>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</si>
  <si>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</si>
  <si>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</si>
  <si>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</si>
  <si>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</si>
  <si>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</si>
  <si>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</si>
  <si>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</si>
  <si>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</si>
  <si>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</si>
  <si>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</si>
  <si>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</si>
  <si>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</si>
  <si>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</si>
  <si>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</si>
  <si>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</si>
  <si>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</si>
  <si>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</si>
  <si>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</si>
  <si>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</si>
  <si>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</si>
  <si>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</si>
  <si>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</si>
  <si>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</si>
  <si>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</si>
  <si>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</si>
  <si>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</si>
  <si>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</si>
  <si>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</si>
  <si>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</si>
  <si>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</si>
  <si>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</si>
  <si>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</si>
  <si>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</si>
  <si>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</si>
  <si>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</si>
  <si>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</si>
  <si>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</si>
  <si>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</si>
  <si>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</si>
  <si>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</si>
  <si>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</si>
  <si>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</si>
  <si>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</si>
  <si>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</si>
  <si>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</si>
  <si>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</si>
  <si>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</si>
  <si>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</si>
  <si>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</si>
  <si>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</si>
  <si>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</si>
  <si>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</si>
  <si>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</si>
  <si>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</si>
  <si>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</si>
  <si>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</si>
  <si>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</si>
  <si>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</si>
  <si>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</si>
  <si>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</si>
  <si>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</si>
  <si>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</si>
  <si>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</si>
  <si>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</si>
  <si>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</si>
  <si>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</si>
  <si>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</si>
  <si>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</si>
  <si>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</si>
  <si>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</si>
  <si>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</si>
  <si>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</si>
  <si>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</si>
  <si>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</si>
  <si>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</si>
  <si>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</si>
  <si>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</si>
  <si>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</si>
  <si>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</si>
  <si>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</si>
  <si>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</si>
  <si>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</si>
  <si>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</si>
  <si>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</si>
  <si>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</si>
  <si>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</si>
  <si>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</si>
  <si>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</si>
  <si>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</si>
  <si>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</si>
  <si>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</si>
  <si>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</si>
  <si>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</si>
  <si>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</si>
  <si>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</si>
  <si>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</si>
  <si>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</si>
  <si>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</si>
  <si>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</si>
  <si>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</si>
  <si>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</si>
  <si>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</si>
  <si>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</si>
  <si>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</si>
  <si>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</si>
  <si>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</si>
  <si>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</si>
  <si>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</si>
  <si>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</si>
  <si>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</si>
  <si>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</si>
  <si>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</si>
  <si>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</si>
  <si>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</si>
  <si>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</si>
  <si>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</si>
  <si>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</si>
  <si>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</si>
  <si>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</si>
  <si>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</si>
  <si>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</si>
  <si>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</si>
  <si>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</si>
  <si>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</si>
  <si>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</si>
  <si>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</si>
  <si>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</si>
  <si>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</si>
  <si>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</si>
  <si>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</si>
  <si>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</si>
  <si>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</si>
  <si>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</si>
  <si>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</si>
  <si>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</si>
  <si>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</si>
  <si>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</si>
  <si>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</si>
  <si>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</si>
  <si>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</si>
  <si>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</si>
  <si>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</si>
  <si>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</si>
  <si>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</si>
  <si>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</si>
  <si>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</si>
  <si>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</si>
  <si>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</si>
  <si>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</si>
  <si>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</si>
  <si>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</si>
  <si>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</si>
  <si>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</si>
  <si>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</si>
  <si>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</si>
  <si>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</si>
  <si>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</si>
  <si>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</si>
  <si>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</si>
  <si>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</si>
  <si>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</si>
  <si>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</si>
  <si>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</si>
  <si>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</si>
  <si>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</si>
  <si>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</si>
  <si>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</si>
  <si>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</si>
  <si>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</si>
  <si>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</si>
  <si>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</si>
  <si>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</si>
  <si>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</si>
  <si>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</si>
  <si>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</si>
  <si>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</si>
  <si>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</si>
  <si>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</si>
  <si>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</si>
  <si>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</si>
  <si>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</si>
  <si>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</si>
  <si>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</si>
  <si>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</si>
  <si>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</si>
  <si>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</si>
  <si>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</si>
  <si>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</si>
  <si>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</si>
  <si>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</si>
  <si>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</si>
  <si>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</si>
  <si>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</si>
  <si>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</si>
  <si>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</si>
  <si>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</si>
  <si>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</si>
  <si>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</si>
  <si>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</si>
  <si>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</si>
  <si>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</si>
  <si>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</si>
  <si>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</si>
  <si>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</si>
  <si>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</si>
  <si>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</si>
  <si>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</si>
  <si>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</si>
  <si>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</si>
  <si>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</si>
  <si>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</si>
  <si>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</si>
  <si>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</si>
  <si>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</si>
  <si>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</si>
  <si>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</si>
  <si>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</si>
  <si>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</si>
  <si>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</si>
  <si>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</si>
  <si>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</si>
  <si>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</si>
  <si>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</si>
  <si>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</si>
  <si>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</si>
  <si>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</si>
  <si>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</si>
  <si>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</si>
  <si>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</si>
  <si>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</si>
  <si>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</si>
  <si>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</si>
  <si>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</si>
  <si>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</si>
  <si>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</si>
  <si>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</si>
  <si>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</si>
  <si>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</si>
  <si>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</si>
  <si>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</si>
  <si>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</si>
  <si>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</si>
  <si>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</si>
  <si>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</si>
  <si>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</si>
  <si>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</si>
  <si>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</si>
  <si>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</si>
  <si>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</si>
  <si>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</si>
  <si>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</si>
  <si>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</si>
  <si>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</si>
  <si>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</si>
  <si>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</si>
  <si>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</si>
  <si>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</si>
  <si>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</si>
  <si>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</si>
  <si>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</si>
  <si>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</si>
  <si>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</si>
  <si>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</si>
  <si>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</si>
  <si>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</si>
  <si>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</si>
  <si>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</si>
  <si>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</si>
  <si>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</si>
  <si>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</si>
  <si>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</si>
  <si>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</si>
  <si>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</si>
  <si>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</si>
  <si>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</si>
  <si>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</si>
  <si>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</si>
  <si>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</si>
  <si>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</si>
  <si>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</si>
  <si>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</si>
  <si>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</si>
  <si>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</si>
  <si>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</si>
  <si>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</si>
  <si>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</si>
  <si>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</si>
  <si>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</si>
  <si>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</si>
  <si>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</si>
  <si>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</si>
  <si>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</si>
  <si>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</si>
  <si>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</si>
  <si>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</si>
  <si>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</si>
  <si>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</si>
  <si>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</si>
  <si>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</si>
  <si>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</si>
  <si>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</si>
  <si>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</si>
  <si>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</si>
  <si>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</si>
  <si>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</si>
  <si>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</si>
  <si>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</si>
  <si>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</si>
  <si>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</si>
  <si>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</si>
  <si>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</si>
  <si>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</si>
  <si>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</si>
  <si>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</si>
  <si>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</si>
  <si>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</si>
  <si>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</si>
  <si>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</si>
  <si>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</si>
  <si>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</si>
  <si>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</si>
  <si>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</si>
  <si>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</si>
  <si>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</si>
  <si>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</si>
  <si>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</si>
  <si>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</si>
  <si>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</si>
  <si>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</si>
  <si>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</si>
  <si>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</si>
  <si>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</si>
  <si>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</si>
  <si>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</si>
  <si>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</si>
  <si>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</si>
  <si>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</si>
  <si>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</si>
  <si>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</si>
  <si>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</si>
  <si>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</si>
  <si>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</si>
  <si>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</si>
  <si>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</si>
  <si>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</si>
  <si>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</si>
  <si>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</si>
  <si>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</si>
  <si>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</si>
  <si>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</si>
  <si>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</si>
  <si>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</si>
  <si>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</si>
  <si>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</si>
  <si>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</si>
  <si>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</si>
  <si>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</si>
  <si>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</si>
  <si>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</si>
  <si>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</si>
  <si>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</si>
  <si>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</si>
  <si>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</si>
  <si>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</si>
  <si>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</si>
  <si>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</si>
  <si>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</si>
  <si>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</si>
  <si>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</si>
  <si>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</si>
  <si>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</si>
  <si>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</si>
  <si>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</si>
  <si>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</si>
  <si>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</si>
  <si>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</si>
  <si>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</si>
  <si>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</si>
  <si>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</si>
  <si>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</si>
  <si>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</si>
  <si>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</si>
  <si>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</si>
  <si>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</si>
  <si>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</si>
  <si>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</si>
  <si>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</si>
  <si>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</si>
  <si>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</si>
  <si>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</si>
  <si>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</si>
  <si>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</si>
  <si>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</si>
  <si>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</si>
  <si>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</si>
  <si>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</si>
  <si>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</si>
  <si>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</si>
  <si>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</si>
  <si>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</si>
  <si>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</si>
  <si>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</si>
  <si>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</si>
  <si>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</si>
  <si>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</si>
  <si>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</si>
  <si>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</si>
  <si>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</si>
  <si>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</si>
  <si>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</si>
  <si>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</si>
  <si>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</si>
  <si>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</si>
  <si>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</si>
  <si>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</si>
  <si>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</si>
  <si>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</si>
  <si>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</si>
  <si>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</si>
  <si>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</si>
  <si>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</si>
  <si>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</si>
  <si>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</si>
  <si>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</si>
  <si>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</si>
  <si>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</si>
  <si>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</si>
  <si>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</si>
  <si>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</si>
  <si>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</si>
  <si>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</si>
  <si>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</si>
  <si>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</si>
  <si>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</si>
  <si>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</si>
  <si>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</si>
  <si>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</si>
  <si>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</si>
  <si>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</si>
  <si>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</si>
  <si>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</si>
  <si>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</si>
  <si>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</si>
  <si>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</si>
  <si>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</si>
  <si>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</si>
  <si>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</si>
  <si>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</si>
  <si>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</si>
  <si>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</si>
  <si>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</si>
  <si>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</si>
  <si>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</si>
  <si>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</si>
  <si>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</si>
  <si>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</si>
  <si>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</si>
  <si>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</si>
  <si>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</si>
  <si>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</si>
  <si>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</si>
  <si>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</si>
  <si>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</si>
  <si>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</si>
  <si>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</si>
  <si>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</si>
  <si>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</si>
  <si>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</si>
  <si>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</si>
  <si>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</si>
  <si>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</si>
  <si>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</si>
  <si>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</si>
  <si>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</si>
  <si>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</si>
  <si>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</si>
  <si>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</si>
  <si>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</si>
  <si>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</si>
  <si>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</si>
  <si>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</si>
  <si>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</si>
  <si>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</si>
  <si>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</si>
  <si>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</si>
  <si>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</si>
  <si>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</si>
  <si>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</si>
  <si>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</si>
  <si>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</si>
  <si>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</si>
  <si>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</si>
  <si>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</si>
  <si>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</si>
  <si>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</si>
  <si>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</si>
  <si>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</si>
  <si>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</si>
  <si>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</si>
  <si>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</si>
  <si>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</si>
  <si>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</si>
  <si>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</si>
  <si>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</si>
  <si>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</si>
  <si>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</si>
  <si>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</si>
  <si>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</si>
  <si>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</si>
  <si>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</si>
  <si>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</si>
  <si>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</si>
  <si>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</si>
  <si>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</si>
  <si>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</si>
  <si>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</si>
  <si>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</si>
  <si>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</si>
  <si>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</si>
  <si>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</si>
  <si>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</si>
  <si>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</si>
  <si>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</si>
  <si>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</si>
  <si>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</si>
  <si>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</si>
  <si>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</si>
  <si>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</si>
  <si>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</si>
  <si>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</si>
  <si>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</si>
  <si>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</si>
  <si>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</si>
  <si>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</si>
  <si>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</si>
  <si>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</si>
  <si>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</si>
  <si>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</si>
  <si>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</si>
  <si>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</si>
  <si>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</si>
  <si>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</si>
  <si>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</si>
  <si>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</si>
  <si>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</si>
  <si>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</si>
  <si>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</si>
  <si>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</si>
  <si>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</si>
  <si>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</si>
  <si>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</si>
  <si>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</si>
  <si>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</si>
  <si>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</si>
  <si>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</si>
  <si>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</si>
  <si>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</si>
  <si>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</si>
  <si>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</si>
  <si>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</si>
  <si>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</si>
  <si>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</si>
  <si>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</si>
  <si>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</si>
  <si>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</si>
  <si>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</si>
  <si>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</si>
  <si>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</si>
  <si>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</si>
  <si>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</si>
  <si>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</si>
  <si>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</si>
  <si>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</si>
  <si>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</si>
  <si>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</si>
  <si>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</si>
  <si>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</si>
  <si>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</si>
  <si>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</si>
  <si>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</si>
  <si>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</si>
  <si>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</si>
  <si>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</si>
  <si>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</si>
  <si>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</si>
  <si>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</si>
  <si>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</si>
  <si>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</si>
  <si>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</si>
  <si>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</si>
  <si>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</si>
  <si>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</si>
  <si>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</si>
  <si>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</si>
  <si>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</si>
  <si>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</si>
  <si>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</si>
  <si>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</si>
  <si>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</si>
  <si>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</si>
  <si>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</si>
  <si>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</si>
  <si>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</si>
  <si>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</si>
  <si>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</si>
  <si>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</si>
  <si>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</si>
  <si>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</si>
  <si>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</si>
  <si>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</si>
  <si>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</si>
  <si>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</si>
  <si>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</si>
  <si>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</si>
  <si>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</si>
  <si>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</si>
  <si>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</si>
  <si>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</si>
  <si>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</si>
  <si>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</si>
  <si>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</si>
  <si>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</si>
  <si>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</si>
  <si>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</si>
  <si>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</si>
  <si>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</si>
  <si>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</si>
  <si>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</si>
  <si>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</si>
  <si>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</si>
  <si>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</si>
  <si>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</si>
  <si>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</si>
  <si>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</si>
  <si>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</si>
  <si>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</si>
  <si>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</si>
  <si>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</si>
  <si>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</si>
  <si>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</si>
  <si>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</si>
  <si>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</si>
  <si>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</si>
  <si>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</si>
  <si>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</si>
  <si>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</si>
  <si>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</si>
  <si>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</si>
  <si>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</si>
  <si>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</si>
  <si>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</si>
  <si>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</si>
  <si>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</si>
  <si>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</si>
  <si>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</si>
  <si>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</si>
  <si>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</si>
  <si>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</si>
  <si>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</si>
  <si>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</si>
  <si>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</si>
  <si>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</si>
  <si>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</si>
  <si>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</si>
  <si>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</si>
  <si>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</si>
  <si>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</si>
  <si>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</si>
  <si>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</si>
  <si>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</si>
  <si>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</si>
  <si>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</si>
  <si>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</si>
  <si>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</si>
  <si>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</si>
  <si>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</si>
  <si>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</si>
  <si>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</si>
  <si>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</si>
  <si>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</si>
  <si>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</si>
  <si>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</si>
  <si>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</si>
  <si>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</si>
  <si>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</si>
  <si>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</si>
  <si>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</si>
  <si>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</si>
  <si>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</si>
  <si>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</si>
  <si>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</si>
  <si>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</si>
  <si>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</si>
  <si>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</si>
  <si>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</si>
  <si>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</si>
  <si>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</si>
  <si>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</si>
  <si>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</si>
  <si>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</si>
  <si>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</si>
  <si>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</si>
  <si>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</si>
  <si>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</si>
  <si>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</si>
  <si>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</si>
  <si>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</si>
  <si>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</si>
  <si>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</si>
  <si>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</si>
  <si>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</si>
  <si>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</si>
  <si>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</si>
  <si>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</si>
  <si>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</si>
  <si>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</si>
  <si>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</si>
  <si>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</si>
  <si>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</si>
  <si>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</si>
  <si>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</si>
  <si>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</si>
  <si>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</si>
  <si>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</si>
  <si>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</si>
  <si>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</si>
  <si>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</si>
  <si>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</si>
  <si>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</si>
  <si>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</si>
  <si>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</si>
  <si>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</si>
  <si>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</si>
  <si>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</si>
  <si>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</si>
  <si>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</si>
  <si>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</si>
  <si>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</si>
  <si>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</si>
  <si>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</si>
  <si>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</si>
  <si>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</si>
  <si>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</si>
  <si>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</si>
  <si>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</si>
  <si>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</si>
  <si>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</si>
  <si>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</si>
  <si>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</si>
  <si>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</si>
  <si>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</si>
  <si>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</si>
  <si>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</si>
  <si>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</si>
  <si>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</si>
  <si>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</si>
  <si>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</si>
  <si>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</si>
  <si>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</si>
  <si>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</si>
  <si>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</si>
  <si>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</si>
  <si>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</si>
  <si>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</si>
  <si>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</si>
  <si>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</si>
  <si>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</si>
  <si>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</si>
  <si>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</si>
  <si>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</si>
  <si>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</si>
  <si>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</si>
  <si>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</si>
  <si>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</si>
  <si>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</si>
  <si>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</si>
  <si>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</si>
  <si>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</si>
  <si>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</si>
  <si>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</si>
  <si>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</si>
  <si>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</si>
  <si>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</si>
  <si>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</si>
  <si>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</si>
  <si>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</si>
  <si>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</si>
  <si>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</si>
  <si>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</si>
  <si>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</si>
  <si>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</si>
  <si>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</si>
  <si>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</si>
  <si>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</si>
  <si>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</si>
  <si>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</si>
  <si>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</si>
  <si>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</si>
  <si>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</si>
  <si>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</si>
  <si>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</si>
  <si>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</si>
  <si>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</si>
  <si>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</si>
  <si>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</si>
  <si>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</si>
  <si>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</si>
  <si>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</si>
  <si>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</si>
  <si>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</si>
  <si>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</si>
  <si>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</si>
  <si>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</si>
  <si>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</si>
  <si>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</si>
  <si>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</si>
  <si>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</si>
  <si>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</si>
  <si>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</si>
  <si>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</si>
  <si>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</si>
  <si>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</si>
  <si>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</si>
  <si>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</si>
  <si>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</si>
  <si>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</si>
  <si>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</si>
  <si>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</si>
  <si>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</si>
  <si>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</si>
  <si>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</si>
  <si>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</si>
  <si>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</si>
  <si>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</si>
  <si>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</si>
  <si>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</si>
  <si>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</si>
  <si>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</si>
  <si>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</si>
  <si>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</si>
  <si>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</si>
  <si>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</si>
  <si>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</si>
  <si>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</si>
  <si>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</si>
  <si>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</si>
  <si>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</si>
  <si>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</si>
  <si>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</si>
  <si>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</si>
  <si>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</si>
  <si>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</si>
  <si>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</si>
  <si>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</si>
  <si>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</si>
  <si>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</si>
  <si>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</si>
  <si>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</si>
  <si>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</si>
  <si>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</si>
  <si>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</si>
  <si>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</si>
  <si>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</si>
  <si>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</si>
  <si>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</si>
  <si>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</si>
  <si>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</si>
  <si>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</si>
  <si>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</si>
  <si>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</si>
  <si>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</si>
  <si>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</si>
  <si>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</si>
  <si>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</si>
  <si>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</si>
  <si>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</si>
  <si>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</si>
  <si>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</si>
  <si>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</si>
  <si>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</si>
  <si>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</si>
  <si>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</si>
  <si>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</si>
  <si>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</si>
  <si>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</si>
  <si>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</si>
  <si>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</si>
  <si>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</si>
  <si>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</si>
  <si>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</si>
  <si>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</si>
  <si>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</si>
  <si>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</si>
  <si>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</si>
  <si>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</si>
  <si>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</si>
  <si>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</si>
  <si>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</si>
  <si>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</si>
  <si>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</si>
  <si>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</si>
  <si>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</si>
  <si>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</si>
  <si>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</si>
  <si>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</si>
  <si>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</si>
  <si>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</si>
  <si>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</si>
  <si>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</si>
  <si>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</si>
  <si>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</si>
  <si>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</si>
  <si>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</si>
  <si>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</si>
  <si>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</si>
  <si>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</si>
  <si>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</si>
  <si>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</si>
  <si>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</si>
  <si>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</si>
  <si>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</si>
  <si>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</si>
  <si>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</si>
  <si>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</si>
  <si>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</si>
  <si>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</si>
  <si>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</si>
  <si>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</si>
  <si>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</si>
  <si>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</si>
  <si>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</si>
  <si>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</si>
  <si>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</si>
  <si>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</si>
  <si>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</si>
  <si>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</si>
  <si>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</si>
  <si>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</si>
  <si>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</si>
  <si>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</si>
  <si>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</si>
  <si>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</si>
  <si>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</si>
  <si>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</si>
  <si>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</si>
  <si>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</si>
  <si>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</si>
  <si>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</si>
  <si>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</si>
  <si>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</si>
  <si>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</si>
  <si>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</si>
  <si>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</si>
  <si>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</si>
  <si>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</si>
  <si>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</si>
  <si>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</si>
  <si>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</si>
  <si>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</si>
  <si>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</si>
  <si>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</si>
  <si>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</si>
  <si>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</si>
  <si>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</si>
  <si>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</si>
  <si>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</si>
  <si>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</si>
  <si>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</si>
  <si>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</si>
  <si>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</si>
  <si>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</si>
  <si>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</si>
  <si>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</si>
  <si>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</si>
  <si>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</si>
  <si>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</si>
  <si>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</si>
  <si>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</si>
  <si>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</si>
  <si>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</si>
  <si>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</si>
  <si>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</si>
  <si>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</si>
  <si>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</si>
  <si>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</si>
  <si>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</si>
  <si>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</si>
  <si>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</si>
  <si>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</si>
  <si>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</si>
  <si>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</si>
  <si>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</si>
  <si>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</si>
  <si>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</si>
  <si>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</si>
  <si>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</si>
  <si>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</si>
  <si>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</si>
  <si>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</si>
  <si>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</si>
  <si>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</si>
  <si>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</si>
  <si>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</si>
  <si>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</si>
  <si>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</si>
  <si>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</si>
  <si>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</si>
  <si>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</si>
  <si>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</si>
  <si>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</si>
  <si>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</si>
  <si>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</si>
  <si>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</si>
  <si>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</si>
  <si>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</si>
  <si>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</si>
  <si>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</si>
  <si>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</si>
  <si>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</si>
  <si>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</si>
  <si>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</si>
  <si>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</si>
  <si>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</si>
  <si>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</si>
  <si>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</si>
  <si>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</si>
  <si>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</si>
  <si>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</si>
  <si>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</si>
  <si>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</si>
  <si>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</si>
  <si>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</si>
  <si>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</si>
  <si>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</si>
  <si>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</si>
  <si>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</si>
  <si>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</si>
  <si>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</si>
  <si>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</si>
  <si>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</si>
  <si>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</si>
  <si>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</si>
  <si>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</si>
  <si>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</si>
  <si>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</si>
  <si>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</si>
  <si>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</si>
  <si>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</si>
  <si>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</si>
  <si>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</si>
  <si>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</si>
  <si>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</si>
  <si>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</si>
  <si>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</si>
  <si>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</si>
  <si>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</si>
  <si>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</si>
  <si>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</si>
  <si>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</si>
  <si>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</si>
  <si>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</si>
  <si>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</si>
  <si>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</si>
  <si>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</si>
  <si>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</si>
  <si>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</si>
  <si>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</si>
  <si>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</si>
  <si>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</si>
  <si>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</si>
  <si>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</si>
  <si>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</si>
  <si>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</si>
  <si>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</si>
  <si>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</si>
  <si>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</si>
  <si>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</si>
  <si>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</si>
  <si>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</si>
  <si>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</si>
  <si>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</si>
  <si>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</si>
  <si>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</si>
  <si>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</si>
  <si>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</si>
  <si>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</si>
  <si>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</si>
  <si>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</si>
  <si>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</si>
  <si>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</si>
  <si>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</si>
  <si>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</si>
  <si>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</si>
  <si>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</si>
  <si>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</si>
  <si>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</si>
  <si>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</si>
  <si>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</si>
  <si>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</si>
  <si>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</si>
  <si>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</si>
  <si>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</si>
  <si>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</si>
  <si>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</si>
  <si>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</si>
  <si>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</si>
  <si>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</si>
  <si>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</si>
  <si>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</si>
  <si>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</si>
  <si>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</si>
  <si>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</si>
  <si>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</si>
  <si>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</si>
  <si>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</si>
  <si>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</si>
  <si>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</si>
  <si>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</si>
  <si>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</si>
  <si>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</si>
  <si>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</si>
  <si>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</si>
  <si>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</si>
  <si>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</si>
  <si>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</si>
  <si>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</si>
  <si>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</si>
  <si>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</si>
  <si>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</si>
  <si>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</si>
  <si>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</si>
  <si>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</si>
  <si>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</si>
  <si>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</si>
  <si>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</si>
  <si>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</si>
  <si>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</si>
  <si>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</si>
  <si>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</si>
  <si>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</si>
  <si>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</si>
  <si>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</si>
  <si>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</si>
  <si>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</si>
  <si>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</si>
  <si>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</si>
  <si>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</si>
  <si>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</si>
  <si>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</si>
  <si>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</si>
  <si>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</si>
  <si>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</si>
  <si>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</si>
  <si>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</si>
  <si>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</si>
  <si>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</si>
  <si>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</si>
  <si>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</si>
  <si>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</si>
  <si>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</si>
  <si>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</si>
  <si>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</si>
  <si>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</si>
  <si>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</si>
  <si>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</si>
  <si>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</si>
  <si>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</si>
  <si>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</si>
  <si>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</si>
  <si>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</si>
  <si>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</si>
  <si>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</si>
  <si>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</si>
  <si>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</si>
  <si>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</si>
  <si>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</si>
  <si>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</si>
  <si>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</si>
  <si>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</si>
  <si>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</si>
  <si>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</si>
  <si>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</si>
  <si>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</si>
  <si>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</si>
  <si>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</si>
  <si>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</si>
  <si>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</si>
  <si>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</si>
  <si>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</si>
  <si>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</si>
  <si>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</si>
  <si>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</si>
  <si>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</si>
  <si>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</si>
  <si>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</si>
  <si>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</si>
  <si>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</si>
  <si>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</si>
  <si>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</si>
  <si>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</si>
  <si>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</si>
  <si>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</si>
  <si>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</si>
  <si>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</si>
  <si>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</si>
  <si>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</si>
  <si>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</si>
  <si>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</si>
  <si>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</si>
  <si>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</si>
  <si>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</si>
  <si>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</si>
  <si>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</si>
  <si>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</si>
  <si>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</si>
  <si>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</si>
  <si>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</si>
  <si>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</si>
  <si>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</si>
  <si>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</si>
  <si>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</si>
  <si>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</si>
  <si>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</si>
  <si>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</si>
  <si>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</si>
  <si>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</si>
  <si>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</si>
  <si>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</si>
  <si>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</si>
  <si>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</si>
  <si>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</si>
  <si>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</si>
  <si>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</si>
  <si>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</si>
  <si>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</si>
  <si>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</si>
  <si>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</si>
  <si>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</si>
  <si>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</si>
  <si>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</si>
  <si>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</si>
  <si>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</si>
  <si>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</si>
  <si>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</si>
  <si>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</si>
  <si>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</si>
  <si>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</si>
  <si>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</si>
  <si>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</si>
  <si>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</si>
  <si>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</si>
  <si>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</si>
  <si>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</si>
  <si>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</si>
  <si>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</si>
  <si>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</si>
  <si>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</si>
  <si>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</si>
  <si>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</si>
  <si>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</si>
  <si>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</si>
  <si>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</si>
  <si>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</si>
  <si>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</si>
  <si>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</si>
  <si>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</si>
  <si>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</si>
  <si>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</si>
  <si>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</si>
  <si>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</si>
  <si>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</si>
  <si>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</si>
  <si>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</si>
  <si>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</si>
  <si>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</si>
  <si>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</si>
  <si>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</si>
  <si>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</si>
  <si>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</si>
  <si>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</si>
  <si>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</si>
  <si>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</si>
  <si>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</si>
  <si>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</si>
  <si>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</si>
  <si>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</si>
  <si>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</si>
  <si>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</si>
  <si>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</si>
  <si>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</si>
  <si>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</si>
  <si>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</si>
  <si>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</si>
  <si>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</si>
  <si>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</si>
  <si>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</si>
  <si>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</si>
  <si>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</si>
  <si>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</si>
  <si>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</si>
  <si>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</si>
  <si>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</si>
  <si>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</si>
  <si>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</si>
  <si>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</si>
  <si>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</si>
  <si>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</si>
  <si>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</si>
  <si>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</si>
  <si>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</si>
  <si>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</si>
  <si>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</si>
  <si>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</si>
  <si>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</si>
  <si>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</si>
  <si>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</si>
  <si>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</si>
  <si>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</si>
  <si>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</si>
  <si>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</si>
  <si>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</si>
  <si>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</si>
  <si>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</si>
  <si>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</si>
  <si>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</si>
  <si>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</si>
  <si>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</si>
  <si>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</si>
  <si>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</si>
  <si>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</si>
  <si>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</si>
  <si>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</si>
  <si>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</si>
  <si>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</si>
  <si>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</si>
  <si>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</si>
  <si>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</si>
  <si>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</si>
  <si>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</si>
  <si>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</si>
  <si>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</si>
  <si>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</si>
  <si>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</si>
  <si>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</si>
  <si>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</si>
  <si>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</si>
  <si>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</si>
  <si>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</si>
  <si>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</si>
  <si>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</si>
  <si>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</si>
  <si>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</si>
  <si>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</si>
  <si>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</si>
  <si>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</si>
  <si>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</si>
  <si>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</si>
  <si>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</si>
  <si>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</si>
  <si>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</si>
  <si>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</si>
  <si>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</si>
  <si>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</si>
  <si>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</si>
  <si>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</si>
  <si>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</si>
  <si>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</si>
  <si>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</si>
  <si>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</si>
  <si>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</si>
  <si>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</si>
  <si>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</si>
  <si>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</si>
  <si>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</si>
  <si>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</si>
  <si>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</si>
  <si>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</si>
  <si>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</si>
  <si>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</si>
  <si>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</si>
  <si>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</si>
  <si>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</si>
  <si>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</si>
  <si>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</si>
  <si>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</si>
  <si>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</si>
  <si>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</si>
  <si>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</si>
  <si>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</si>
  <si>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</si>
  <si>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</si>
  <si>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</si>
  <si>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</si>
  <si>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</si>
  <si>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</si>
  <si>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</si>
  <si>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</si>
  <si>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</si>
  <si>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</si>
  <si>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</si>
  <si>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</si>
  <si>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</si>
  <si>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</si>
  <si>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</si>
  <si>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</si>
  <si>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</si>
  <si>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</si>
  <si>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</si>
  <si>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</si>
  <si>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</si>
  <si>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</si>
  <si>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</si>
  <si>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</si>
  <si>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</si>
  <si>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</si>
  <si>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</si>
  <si>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</si>
  <si>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</si>
  <si>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</si>
  <si>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</si>
  <si>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</si>
  <si>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</si>
  <si>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</si>
  <si>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</si>
  <si>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</si>
  <si>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</si>
  <si>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</si>
  <si>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</si>
  <si>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</si>
  <si>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</si>
  <si>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</si>
  <si>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</si>
  <si>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</si>
  <si>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</si>
  <si>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</si>
  <si>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</si>
  <si>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</si>
  <si>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</si>
  <si>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</si>
  <si>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</si>
  <si>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</si>
  <si>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</si>
  <si>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</si>
  <si>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</si>
  <si>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</si>
  <si>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</si>
  <si>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</si>
  <si>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</si>
  <si>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</si>
  <si>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</si>
  <si>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</si>
  <si>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</si>
  <si>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</si>
  <si>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</si>
  <si>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</si>
  <si>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</si>
  <si>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</si>
  <si>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</si>
  <si>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</si>
  <si>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</si>
  <si>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</si>
  <si>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</si>
  <si>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</si>
  <si>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</si>
  <si>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</si>
  <si>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</si>
  <si>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</si>
  <si>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</si>
  <si>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</si>
  <si>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</si>
  <si>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</si>
  <si>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</si>
  <si>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</si>
  <si>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</si>
  <si>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</si>
  <si>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</si>
  <si>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</si>
  <si>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</si>
  <si>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</si>
  <si>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</si>
  <si>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</si>
  <si>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</si>
  <si>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</si>
  <si>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</si>
  <si>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</si>
  <si>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</si>
  <si>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</si>
  <si>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</si>
  <si>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</si>
  <si>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</si>
  <si>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</si>
  <si>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</si>
  <si>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</si>
  <si>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</si>
  <si>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</si>
  <si>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</si>
  <si>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</si>
  <si>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</si>
  <si>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</si>
  <si>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</si>
  <si>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</si>
  <si>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</si>
  <si>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</si>
  <si>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</si>
  <si>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</si>
  <si>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</si>
  <si>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</si>
  <si>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</si>
  <si>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</si>
  <si>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</si>
  <si>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</si>
  <si>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</si>
  <si>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</si>
  <si>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</si>
  <si>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</si>
  <si>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</si>
  <si>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</si>
  <si>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</si>
  <si>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</si>
  <si>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</si>
  <si>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</si>
  <si>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</si>
  <si>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</si>
  <si>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</si>
  <si>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</si>
  <si>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</si>
  <si>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</si>
  <si>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</si>
  <si>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</si>
  <si>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</si>
  <si>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</si>
  <si>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</si>
  <si>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</si>
  <si>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</si>
  <si>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</si>
  <si>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</si>
  <si>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</si>
  <si>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</si>
  <si>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</si>
  <si>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</si>
  <si>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</si>
  <si>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</si>
  <si>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</si>
  <si>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</si>
  <si>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</si>
  <si>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</si>
  <si>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</si>
  <si>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</si>
  <si>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</si>
  <si>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</si>
  <si>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</si>
  <si>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</si>
  <si>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</si>
  <si>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</si>
  <si>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</si>
  <si>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</si>
  <si>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</si>
  <si>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</si>
  <si>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</si>
  <si>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</si>
  <si>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</si>
  <si>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</si>
  <si>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</si>
  <si>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</si>
  <si>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</si>
  <si>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</si>
  <si>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</si>
  <si>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</si>
  <si>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</si>
  <si>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</si>
  <si>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</si>
  <si>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</si>
  <si>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</si>
  <si>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</si>
  <si>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</si>
  <si>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</si>
  <si>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</si>
  <si>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</si>
  <si>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</si>
  <si>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</si>
  <si>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</si>
  <si>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</si>
  <si>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</si>
  <si>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</si>
  <si>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</si>
  <si>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</si>
  <si>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</si>
  <si>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</si>
  <si>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</si>
  <si>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</si>
  <si>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</si>
  <si>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</si>
  <si>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</si>
  <si>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</si>
  <si>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</si>
  <si>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</si>
  <si>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</si>
  <si>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</si>
  <si>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</si>
  <si>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</si>
  <si>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</si>
  <si>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</si>
  <si>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</si>
  <si>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</si>
  <si>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</si>
  <si>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</si>
  <si>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</si>
  <si>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</si>
  <si>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</si>
  <si>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</si>
  <si>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</si>
  <si>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</si>
  <si>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</si>
  <si>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</si>
  <si>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</si>
  <si>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</si>
  <si>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</si>
  <si>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</si>
  <si>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</si>
  <si>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</si>
  <si>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</si>
  <si>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</si>
  <si>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</si>
  <si>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</si>
  <si>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</si>
  <si>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</si>
  <si>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</si>
  <si>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</si>
  <si>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</si>
  <si>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</si>
  <si>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</si>
  <si>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</si>
  <si>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</si>
  <si>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</si>
  <si>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</si>
  <si>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</si>
  <si>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</si>
  <si>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</si>
  <si>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</si>
  <si>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</si>
  <si>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</si>
  <si>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</si>
  <si>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</si>
  <si>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</si>
  <si>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</si>
  <si>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</si>
  <si>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</si>
  <si>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</si>
  <si>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</si>
  <si>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</si>
  <si>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</si>
  <si>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</si>
  <si>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</si>
  <si>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</si>
  <si>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</si>
  <si>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</si>
  <si>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</si>
  <si>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</si>
  <si>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</si>
  <si>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</si>
  <si>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</si>
  <si>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</si>
  <si>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</si>
  <si>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</si>
  <si>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</si>
  <si>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</si>
  <si>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</si>
  <si>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</si>
  <si>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</si>
  <si>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</si>
  <si>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</si>
  <si>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</si>
  <si>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</si>
  <si>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</si>
  <si>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</si>
  <si>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</si>
  <si>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</si>
  <si>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</si>
  <si>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</si>
  <si>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</si>
  <si>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</si>
  <si>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</si>
  <si>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</si>
  <si>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</si>
  <si>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</si>
  <si>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</si>
  <si>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</si>
  <si>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</si>
  <si>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</si>
  <si>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</si>
  <si>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</si>
  <si>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</si>
  <si>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</si>
  <si>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</si>
  <si>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</si>
  <si>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</si>
  <si>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</si>
  <si>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</si>
  <si>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</si>
  <si>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</si>
  <si>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</si>
  <si>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</si>
  <si>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</si>
  <si>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</si>
  <si>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</si>
  <si>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</si>
  <si>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</si>
  <si>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</si>
  <si>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</si>
  <si>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</si>
  <si>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</si>
  <si>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</si>
  <si>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</si>
  <si>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</si>
  <si>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</si>
  <si>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</si>
  <si>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</si>
  <si>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</si>
  <si>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</si>
  <si>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</si>
  <si>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</si>
  <si>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</si>
  <si>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</si>
  <si>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</si>
  <si>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</si>
  <si>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</si>
  <si>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</si>
  <si>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</si>
  <si>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</si>
  <si>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</si>
  <si>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</si>
  <si>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</si>
  <si>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</si>
  <si>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</si>
  <si>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</si>
  <si>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</si>
  <si>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</si>
  <si>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</si>
  <si>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</si>
  <si>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</si>
  <si>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</si>
  <si>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</si>
  <si>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</si>
  <si>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</si>
  <si>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</si>
  <si>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</si>
  <si>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</si>
  <si>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</si>
  <si>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</si>
  <si>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</si>
  <si>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</si>
  <si>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</si>
  <si>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</si>
  <si>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</si>
  <si>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</si>
  <si>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</si>
  <si>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</si>
  <si>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</si>
  <si>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</si>
  <si>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</si>
  <si>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</si>
  <si>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</si>
  <si>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</si>
  <si>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</si>
  <si>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</si>
  <si>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</si>
  <si>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</si>
  <si>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</si>
  <si>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</si>
  <si>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</si>
  <si>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</si>
  <si>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</si>
  <si>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</si>
  <si>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</si>
  <si>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</si>
  <si>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</si>
  <si>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</si>
  <si>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</si>
  <si>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</si>
  <si>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</si>
  <si>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</si>
  <si>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</si>
  <si>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</si>
  <si>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</si>
  <si>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</si>
  <si>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</si>
  <si>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</si>
  <si>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</si>
  <si>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</si>
  <si>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</si>
  <si>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</si>
  <si>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</si>
  <si>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</si>
  <si>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</si>
  <si>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</si>
  <si>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</si>
  <si>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</si>
  <si>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</si>
  <si>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</si>
  <si>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</si>
  <si>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</si>
  <si>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</si>
  <si>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</si>
  <si>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</si>
  <si>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</si>
  <si>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</si>
  <si>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</si>
  <si>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</si>
  <si>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</si>
  <si>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</si>
  <si>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</si>
  <si>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</si>
  <si>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</si>
  <si>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</si>
  <si>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</si>
  <si>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</si>
  <si>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</si>
  <si>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</si>
  <si>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</si>
  <si>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</si>
  <si>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</si>
  <si>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</si>
  <si>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</si>
  <si>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</si>
  <si>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</si>
  <si>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</si>
  <si>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</si>
  <si>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</si>
  <si>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</si>
  <si>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</si>
  <si>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</si>
  <si>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</si>
  <si>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</si>
  <si>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</si>
  <si>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</si>
  <si>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</si>
  <si>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</si>
  <si>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</si>
  <si>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</si>
  <si>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</si>
  <si>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</si>
  <si>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</si>
  <si>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</si>
  <si>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</si>
  <si>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</si>
  <si>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</si>
  <si>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</si>
  <si>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</si>
  <si>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</si>
  <si>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</si>
  <si>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</si>
  <si>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</si>
  <si>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</si>
  <si>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</si>
  <si>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</si>
  <si>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</si>
  <si>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</si>
  <si>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</si>
  <si>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</si>
  <si>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</si>
  <si>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</si>
  <si>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</si>
  <si>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</si>
  <si>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</si>
  <si>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</si>
  <si>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</si>
  <si>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</si>
  <si>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</si>
  <si>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</si>
  <si>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</si>
  <si>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</si>
  <si>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</si>
  <si>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</si>
  <si>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</si>
  <si>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</si>
  <si>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</si>
  <si>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</si>
  <si>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</si>
  <si>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</si>
  <si>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</si>
  <si>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</si>
  <si>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</si>
  <si>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</si>
  <si>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</si>
  <si>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</si>
  <si>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</si>
  <si>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</si>
  <si>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</si>
  <si>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</si>
  <si>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</si>
  <si>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</si>
  <si>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</si>
  <si>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</si>
  <si>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</si>
  <si>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</si>
  <si>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</si>
  <si>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</si>
  <si>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</si>
  <si>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</si>
  <si>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</si>
  <si>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</si>
  <si>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</si>
  <si>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</si>
  <si>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</si>
  <si>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</si>
  <si>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</si>
  <si>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</si>
  <si>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</si>
  <si>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</si>
  <si>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</si>
  <si>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</si>
  <si>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</si>
  <si>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</si>
  <si>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</si>
  <si>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</si>
  <si>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</si>
  <si>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</si>
  <si>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</si>
  <si>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</si>
  <si>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</si>
  <si>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</si>
  <si>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</si>
  <si>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</si>
  <si>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</si>
  <si>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</si>
  <si>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</si>
  <si>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</si>
  <si>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</si>
  <si>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</si>
  <si>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</si>
  <si>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</si>
  <si>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</si>
  <si>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</si>
  <si>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</si>
  <si>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</si>
  <si>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</si>
  <si>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</si>
  <si>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</si>
  <si>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</si>
  <si>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</si>
  <si>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</si>
  <si>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</si>
  <si>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</si>
  <si>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</si>
  <si>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</si>
  <si>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</si>
  <si>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</si>
  <si>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</si>
  <si>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</si>
  <si>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</si>
  <si>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</si>
  <si>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</si>
  <si>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</si>
  <si>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</si>
  <si>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</si>
  <si>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</si>
  <si>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</si>
  <si>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</si>
  <si>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</si>
  <si>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</si>
  <si>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</si>
  <si>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</si>
  <si>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</si>
  <si>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</si>
  <si>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</si>
  <si>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</si>
  <si>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</si>
  <si>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</si>
  <si>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</si>
  <si>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</si>
  <si>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</si>
  <si>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</si>
  <si>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</si>
  <si>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</si>
  <si>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</si>
  <si>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</si>
  <si>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</si>
  <si>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</si>
  <si>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</si>
  <si>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</si>
  <si>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</si>
  <si>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</si>
  <si>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</si>
  <si>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</si>
  <si>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</si>
  <si>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</si>
  <si>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</si>
  <si>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</si>
  <si>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</si>
  <si>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</si>
  <si>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</si>
  <si>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</si>
  <si>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</si>
  <si>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</si>
  <si>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</si>
  <si>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</si>
  <si>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</si>
  <si>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</si>
  <si>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</si>
  <si>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</si>
  <si>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</si>
  <si>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</si>
  <si>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</si>
  <si>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</si>
  <si>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</si>
  <si>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</si>
  <si>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</si>
  <si>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</si>
  <si>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</si>
  <si>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</si>
  <si>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</si>
  <si>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</si>
  <si>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</si>
  <si>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</si>
  <si>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</si>
  <si>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</si>
  <si>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</si>
  <si>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</si>
  <si>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</si>
  <si>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</si>
  <si>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</si>
  <si>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</si>
  <si>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</si>
  <si>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</si>
  <si>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</si>
  <si>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</si>
  <si>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</si>
  <si>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</si>
  <si>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</si>
  <si>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</si>
  <si>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</si>
  <si>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</si>
  <si>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</si>
  <si>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</si>
  <si>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</si>
  <si>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</si>
  <si>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</si>
  <si>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</si>
  <si>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</si>
  <si>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</si>
  <si>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</si>
  <si>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</si>
  <si>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</si>
  <si>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</si>
  <si>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</si>
  <si>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</si>
  <si>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</si>
  <si>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</si>
  <si>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</si>
  <si>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</si>
  <si>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</si>
  <si>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</si>
  <si>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</si>
  <si>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</si>
  <si>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</si>
  <si>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</si>
  <si>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</si>
  <si>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</si>
  <si>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</si>
  <si>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</si>
  <si>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</si>
  <si>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</si>
  <si>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</si>
  <si>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</si>
  <si>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</si>
  <si>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</si>
  <si>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</si>
  <si>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</si>
  <si>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</si>
  <si>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</si>
  <si>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</si>
  <si>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</si>
  <si>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</si>
  <si>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</si>
  <si>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</si>
  <si>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</si>
  <si>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</si>
  <si>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</si>
  <si>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</si>
  <si>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</si>
  <si>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</si>
  <si>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</si>
  <si>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</si>
  <si>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</si>
  <si>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</si>
  <si>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</si>
  <si>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</si>
  <si>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</si>
  <si>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</si>
  <si>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</si>
  <si>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</si>
  <si>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</si>
  <si>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</si>
  <si>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</si>
  <si>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</si>
  <si>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</si>
  <si>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</si>
  <si>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</si>
  <si>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</si>
  <si>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</si>
  <si>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</si>
  <si>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</si>
  <si>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</si>
  <si>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</si>
  <si>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</si>
  <si>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</si>
  <si>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</si>
  <si>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</si>
  <si>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</si>
  <si>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</si>
  <si>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</si>
  <si>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</si>
  <si>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</si>
  <si>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</si>
  <si>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</si>
  <si>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</si>
  <si>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</si>
  <si>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</si>
  <si>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</si>
  <si>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</si>
  <si>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</si>
  <si>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</si>
  <si>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</si>
  <si>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</si>
  <si>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</si>
  <si>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</si>
  <si>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</si>
  <si>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</si>
  <si>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</si>
  <si>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</si>
  <si>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</si>
  <si>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</si>
  <si>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</si>
  <si>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</si>
  <si>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</si>
  <si>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</si>
  <si>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</si>
  <si>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</si>
  <si>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</si>
  <si>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</si>
  <si>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</si>
  <si>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</si>
  <si>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</si>
  <si>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</si>
  <si>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</si>
  <si>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</si>
  <si>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</si>
  <si>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</si>
  <si>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</si>
  <si>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</si>
  <si>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</si>
  <si>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</si>
  <si>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</si>
  <si>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</si>
  <si>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</si>
  <si>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</si>
  <si>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</si>
  <si>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</si>
  <si>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</si>
  <si>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</si>
  <si>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</si>
  <si>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</si>
  <si>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</si>
  <si>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</si>
  <si>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</si>
  <si>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</si>
  <si>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</si>
  <si>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</si>
  <si>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</si>
  <si>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</si>
  <si>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</si>
  <si>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</si>
  <si>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</si>
  <si>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</si>
  <si>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</si>
  <si>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</si>
  <si>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</si>
  <si>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</si>
  <si>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</si>
  <si>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</si>
  <si>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</si>
  <si>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</si>
  <si>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</si>
  <si>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</si>
  <si>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</si>
  <si>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</si>
  <si>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</si>
  <si>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</si>
  <si>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</si>
  <si>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</si>
  <si>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</si>
  <si>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</si>
  <si>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</si>
  <si>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</si>
  <si>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</si>
  <si>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</si>
  <si>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</si>
  <si>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</si>
  <si>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</si>
  <si>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</si>
  <si>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</si>
  <si>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</si>
  <si>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</si>
  <si>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</si>
  <si>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</si>
  <si>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</si>
  <si>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</si>
  <si>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</si>
  <si>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</si>
  <si>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</si>
  <si>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</si>
  <si>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</si>
  <si>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</si>
  <si>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</si>
  <si>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</si>
  <si>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</si>
  <si>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</si>
  <si>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</si>
  <si>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</si>
  <si>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</si>
  <si>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</si>
  <si>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</si>
  <si>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</si>
  <si>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</si>
  <si>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</si>
  <si>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</si>
  <si>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</si>
  <si>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</si>
  <si>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</si>
  <si>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</si>
  <si>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</si>
  <si>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</si>
  <si>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</si>
  <si>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</si>
  <si>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</si>
  <si>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</si>
  <si>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</si>
  <si>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</si>
  <si>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</si>
  <si>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</si>
  <si>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</si>
  <si>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</si>
  <si>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</si>
  <si>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</si>
  <si>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</si>
  <si>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</si>
  <si>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</si>
  <si>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</si>
  <si>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</si>
  <si>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</si>
  <si>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</si>
  <si>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</si>
  <si>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</si>
  <si>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</si>
  <si>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</si>
  <si>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</si>
  <si>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</si>
  <si>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</si>
  <si>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</si>
  <si>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</si>
  <si>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</si>
  <si>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</si>
  <si>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</si>
  <si>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</si>
  <si>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</si>
  <si>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</si>
  <si>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</si>
  <si>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</si>
  <si>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</si>
  <si>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</si>
  <si>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</si>
  <si>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</si>
  <si>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</si>
  <si>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</si>
  <si>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</si>
  <si>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</si>
  <si>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</si>
  <si>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</si>
  <si>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</si>
  <si>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</si>
  <si>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</si>
  <si>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</si>
  <si>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</si>
  <si>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</si>
  <si>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</si>
  <si>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</si>
  <si>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</si>
  <si>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</si>
  <si>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</si>
  <si>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</si>
  <si>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</si>
  <si>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</si>
  <si>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</si>
  <si>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</si>
  <si>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</si>
  <si>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</si>
  <si>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</si>
  <si>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</si>
  <si>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</si>
  <si>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</si>
  <si>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</si>
  <si>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</si>
  <si>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</si>
  <si>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</si>
  <si>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</si>
  <si>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</si>
  <si>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</si>
  <si>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</si>
  <si>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</si>
  <si>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</si>
  <si>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</si>
  <si>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</si>
  <si>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</si>
  <si>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</si>
  <si>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</si>
  <si>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</si>
  <si>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</si>
  <si>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</si>
  <si>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</si>
  <si>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</si>
  <si>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</si>
  <si>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</si>
  <si>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</si>
  <si>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</si>
  <si>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</si>
  <si>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</si>
  <si>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</si>
  <si>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</si>
  <si>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</si>
  <si>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</si>
  <si>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</si>
  <si>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</si>
  <si>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</si>
  <si>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</si>
  <si>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</si>
  <si>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</si>
  <si>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</si>
  <si>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</si>
  <si>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</si>
  <si>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</si>
  <si>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</si>
  <si>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</si>
  <si>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</si>
  <si>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</si>
  <si>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</si>
  <si>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</si>
  <si>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</si>
  <si>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</si>
  <si>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</si>
  <si>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</si>
  <si>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</si>
  <si>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</si>
  <si>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</si>
  <si>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</si>
  <si>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</si>
  <si>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</si>
  <si>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</si>
  <si>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</si>
  <si>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</si>
  <si>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</si>
  <si>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</si>
  <si>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</si>
  <si>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</si>
  <si>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</si>
  <si>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</si>
  <si>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</si>
  <si>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</si>
  <si>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</si>
  <si>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</si>
  <si>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</si>
  <si>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</si>
  <si>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</si>
  <si>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</si>
  <si>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</si>
  <si>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</si>
  <si>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</si>
  <si>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</si>
  <si>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</si>
  <si>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</si>
  <si>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</si>
  <si>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</si>
  <si>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</si>
  <si>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</si>
  <si>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</si>
  <si>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</si>
  <si>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</si>
  <si>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</si>
  <si>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</si>
  <si>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</si>
  <si>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</si>
  <si>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</si>
  <si>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</si>
  <si>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</si>
  <si>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</si>
  <si>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</si>
  <si>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</si>
  <si>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</si>
  <si>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</si>
  <si>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</si>
  <si>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</si>
  <si>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</si>
  <si>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</si>
  <si>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</si>
  <si>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</si>
  <si>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</si>
  <si>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</si>
  <si>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</si>
  <si>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</si>
  <si>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</si>
  <si>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</si>
  <si>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</si>
  <si>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</si>
  <si>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</si>
  <si>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</si>
  <si>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</si>
  <si>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</si>
  <si>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</si>
  <si>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</si>
  <si>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</si>
  <si>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</si>
  <si>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</si>
  <si>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</si>
  <si>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</si>
  <si>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</si>
  <si>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</si>
  <si>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</si>
  <si>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</si>
  <si>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</si>
  <si>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</si>
  <si>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</si>
  <si>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</si>
  <si>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</si>
  <si>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</si>
  <si>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</si>
  <si>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</si>
  <si>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</si>
  <si>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</si>
  <si>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</si>
  <si>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</si>
  <si>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</si>
  <si>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</si>
  <si>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</si>
  <si>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</si>
  <si>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</si>
  <si>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</si>
  <si>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</si>
  <si>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</si>
  <si>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</si>
  <si>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</si>
  <si>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</si>
  <si>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</si>
  <si>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</si>
  <si>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</si>
  <si>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</si>
  <si>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</si>
  <si>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</si>
  <si>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</si>
  <si>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</si>
  <si>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</si>
  <si>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</si>
  <si>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</si>
  <si>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</si>
  <si>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</si>
  <si>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</si>
  <si>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</si>
  <si>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</si>
  <si>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</si>
  <si>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</si>
  <si>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</si>
  <si>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</si>
  <si>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</si>
  <si>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</si>
  <si>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</si>
  <si>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</si>
  <si>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</si>
  <si>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</si>
  <si>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</si>
  <si>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</si>
  <si>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</si>
  <si>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</si>
  <si>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</si>
  <si>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</si>
  <si>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</si>
  <si>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</si>
  <si>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</si>
  <si>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</si>
  <si>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</si>
  <si>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</si>
  <si>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</si>
  <si>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</si>
  <si>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</si>
  <si>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</si>
  <si>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</si>
  <si>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</si>
  <si>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</si>
  <si>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</si>
  <si>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</si>
  <si>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</si>
  <si>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</si>
  <si>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</si>
  <si>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</si>
  <si>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</si>
  <si>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</si>
  <si>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</si>
  <si>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</si>
  <si>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</si>
  <si>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</si>
  <si>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</si>
  <si>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</si>
  <si>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</si>
  <si>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</si>
  <si>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</si>
  <si>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</si>
  <si>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</si>
  <si>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</si>
  <si>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</si>
  <si>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</si>
  <si>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</si>
  <si>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</si>
  <si>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</si>
  <si>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</si>
  <si>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</si>
  <si>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</si>
  <si>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</si>
  <si>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</si>
  <si>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</si>
  <si>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</si>
  <si>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</si>
  <si>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</si>
  <si>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</si>
  <si>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</si>
  <si>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</si>
  <si>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</si>
  <si>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</si>
  <si>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</si>
  <si>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</si>
  <si>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</si>
  <si>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</si>
  <si>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</si>
  <si>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</si>
  <si>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</si>
  <si>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</si>
  <si>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</si>
  <si>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</si>
  <si>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</si>
  <si>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</si>
  <si>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</si>
  <si>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</si>
  <si>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</si>
  <si>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</si>
  <si>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</si>
  <si>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</si>
  <si>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</si>
  <si>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</si>
  <si>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</si>
  <si>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</si>
  <si>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</si>
  <si>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</si>
  <si>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</si>
  <si>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</si>
  <si>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</si>
  <si>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</si>
  <si>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</si>
  <si>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</si>
  <si>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</si>
  <si>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</si>
  <si>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</si>
  <si>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</si>
  <si>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</si>
  <si>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</si>
  <si>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</si>
  <si>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</si>
  <si>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</si>
  <si>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</si>
  <si>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</si>
  <si>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</si>
  <si>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</si>
  <si>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</si>
  <si>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</si>
  <si>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</si>
  <si>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</si>
  <si>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</si>
  <si>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</si>
  <si>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</si>
  <si>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</si>
  <si>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</si>
  <si>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</si>
  <si>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</si>
  <si>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</si>
  <si>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</si>
  <si>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</si>
  <si>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</si>
  <si>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</si>
  <si>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</si>
  <si>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</si>
  <si>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</si>
  <si>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</si>
  <si>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</si>
  <si>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</si>
  <si>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</si>
  <si>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</si>
  <si>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</si>
  <si>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</si>
  <si>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</si>
  <si>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</si>
  <si>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</si>
  <si>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</si>
  <si>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</si>
  <si>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</si>
  <si>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</si>
  <si>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</si>
  <si>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</si>
  <si>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</si>
  <si>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</si>
  <si>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</si>
  <si>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</si>
  <si>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</si>
  <si>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</si>
  <si>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</si>
  <si>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</si>
  <si>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</si>
  <si>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</si>
  <si>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</si>
  <si>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</si>
  <si>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</si>
  <si>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</si>
  <si>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</si>
  <si>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</si>
  <si>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</si>
  <si>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</si>
  <si>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</si>
  <si>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</si>
  <si>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</si>
  <si>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</si>
  <si>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</si>
  <si>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</si>
  <si>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</si>
  <si>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</si>
  <si>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</si>
  <si>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</si>
  <si>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</si>
  <si>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</si>
  <si>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</si>
  <si>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</si>
  <si>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</si>
  <si>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</si>
  <si>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</si>
  <si>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</si>
  <si>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</si>
  <si>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</si>
  <si>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</si>
  <si>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</si>
  <si>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</si>
  <si>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</si>
  <si>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</si>
  <si>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</si>
  <si>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</si>
  <si>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</si>
  <si>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</si>
  <si>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</si>
  <si>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</si>
  <si>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</si>
  <si>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</si>
  <si>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</si>
  <si>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</si>
  <si>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</si>
  <si>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</si>
  <si>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</si>
  <si>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</si>
  <si>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</si>
  <si>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</si>
  <si>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</si>
  <si>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</si>
  <si>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</si>
  <si>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</si>
  <si>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</si>
  <si>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</si>
  <si>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</si>
  <si>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</si>
  <si>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</si>
  <si>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</si>
  <si>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</si>
  <si>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</si>
  <si>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</si>
  <si>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</si>
  <si>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</si>
  <si>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</si>
  <si>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</si>
  <si>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</si>
  <si>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</si>
  <si>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</si>
  <si>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</si>
  <si>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</si>
  <si>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</si>
  <si>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</si>
  <si>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</si>
  <si>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</si>
  <si>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</si>
  <si>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</si>
  <si>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</si>
  <si>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</si>
  <si>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</si>
  <si>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</si>
  <si>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</si>
  <si>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</si>
  <si>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</si>
  <si>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</si>
  <si>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</si>
  <si>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</si>
  <si>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</si>
  <si>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</si>
  <si>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</si>
  <si>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</si>
  <si>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</si>
  <si>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</si>
  <si>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</si>
  <si>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</si>
  <si>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</si>
  <si>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</si>
  <si>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</si>
  <si>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</si>
  <si>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</si>
  <si>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</si>
  <si>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</si>
  <si>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</si>
  <si>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</si>
  <si>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</si>
  <si>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</si>
  <si>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</si>
  <si>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</si>
  <si>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</si>
  <si>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</si>
  <si>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</si>
  <si>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</si>
  <si>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</si>
  <si>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</si>
  <si>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</si>
  <si>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</si>
  <si>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</si>
  <si>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</si>
  <si>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</si>
  <si>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</si>
  <si>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</si>
  <si>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</si>
  <si>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</si>
  <si>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</si>
  <si>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</si>
  <si>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</si>
  <si>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</si>
  <si>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</si>
  <si>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</si>
  <si>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</si>
  <si>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</si>
  <si>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</si>
  <si>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</si>
  <si>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</si>
  <si>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</si>
  <si>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</si>
  <si>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</si>
  <si>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</si>
  <si>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</si>
  <si>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</si>
  <si>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</si>
  <si>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</si>
  <si>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</si>
  <si>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</si>
  <si>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</si>
  <si>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</si>
  <si>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</si>
  <si>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</si>
  <si>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</si>
  <si>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</si>
  <si>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</si>
  <si>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</si>
  <si>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</si>
  <si>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</si>
  <si>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</si>
  <si>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</si>
  <si>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</si>
  <si>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</si>
  <si>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</si>
  <si>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</si>
  <si>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</si>
  <si>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</si>
  <si>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</si>
  <si>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</si>
  <si>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</si>
  <si>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</si>
  <si>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</si>
  <si>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</si>
  <si>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</si>
  <si>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</si>
  <si>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</si>
  <si>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</si>
  <si>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</si>
  <si>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</si>
  <si>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</si>
  <si>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</si>
  <si>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</si>
  <si>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</si>
  <si>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</si>
  <si>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</si>
  <si>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</si>
  <si>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</si>
  <si>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</si>
  <si>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</si>
  <si>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</si>
  <si>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</si>
  <si>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</si>
  <si>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</si>
  <si>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</si>
  <si>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</si>
  <si>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</si>
  <si>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</si>
  <si>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</si>
  <si>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</si>
  <si>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</si>
  <si>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</si>
  <si>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</si>
  <si>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</si>
  <si>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</si>
  <si>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</si>
  <si>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</si>
  <si>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</si>
  <si>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</si>
  <si>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</si>
  <si>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</si>
  <si>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</si>
  <si>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</si>
  <si>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</si>
  <si>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</si>
  <si>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</si>
  <si>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</si>
  <si>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</si>
  <si>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</si>
  <si>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</si>
  <si>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</si>
  <si>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</si>
  <si>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</si>
  <si>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</si>
  <si>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</si>
  <si>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</si>
  <si>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</si>
  <si>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</si>
  <si>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</si>
  <si>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</si>
  <si>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</si>
  <si>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</si>
  <si>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</si>
  <si>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</si>
  <si>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</si>
  <si>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</si>
  <si>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</si>
  <si>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</si>
  <si>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</si>
  <si>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</si>
  <si>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</si>
  <si>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</si>
  <si>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</si>
  <si>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</si>
  <si>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</si>
  <si>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</si>
  <si>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</si>
  <si>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</si>
  <si>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</si>
  <si>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</si>
  <si>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</si>
  <si>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</si>
  <si>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</si>
  <si>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</si>
  <si>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</si>
  <si>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</si>
  <si>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</si>
  <si>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</si>
  <si>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</si>
  <si>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</si>
  <si>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</si>
  <si>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</si>
  <si>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</si>
  <si>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</si>
  <si>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</si>
  <si>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</si>
  <si>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</si>
  <si>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</si>
  <si>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</si>
  <si>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</si>
  <si>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</si>
  <si>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</si>
  <si>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</si>
  <si>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</si>
  <si>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</si>
  <si>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</si>
  <si>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</si>
  <si>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</si>
  <si>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</si>
  <si>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</si>
  <si>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</si>
  <si>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</si>
  <si>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</si>
  <si>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</si>
  <si>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</si>
  <si>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</si>
  <si>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</si>
  <si>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</si>
  <si>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</si>
  <si>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</si>
  <si>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</si>
  <si>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</si>
  <si>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</si>
  <si>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</si>
  <si>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</si>
  <si>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</si>
  <si>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</si>
  <si>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</si>
  <si>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</si>
  <si>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</si>
  <si>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</si>
  <si>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</si>
  <si>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</si>
  <si>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</si>
  <si>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</si>
  <si>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</si>
  <si>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</si>
  <si>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</si>
  <si>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</si>
  <si>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</si>
  <si>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</si>
  <si>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</si>
  <si>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</si>
  <si>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</si>
  <si>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</si>
  <si>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</si>
  <si>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</si>
  <si>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</si>
  <si>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</si>
  <si>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</si>
  <si>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</si>
  <si>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</si>
  <si>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</si>
  <si>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</si>
  <si>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</si>
  <si>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</si>
  <si>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</si>
  <si>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</si>
  <si>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</si>
  <si>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</si>
  <si>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</si>
  <si>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</si>
  <si>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</si>
  <si>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</si>
  <si>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</si>
  <si>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</si>
  <si>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</si>
  <si>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</si>
  <si>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</si>
  <si>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</si>
  <si>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</si>
  <si>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</si>
  <si>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</si>
  <si>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</si>
  <si>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</si>
  <si>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</si>
  <si>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</si>
  <si>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</si>
  <si>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</si>
  <si>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</si>
  <si>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</si>
  <si>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</si>
  <si>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</si>
  <si>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</si>
  <si>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</si>
  <si>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</si>
  <si>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</si>
  <si>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</si>
  <si>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</si>
  <si>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</si>
  <si>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</si>
  <si>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</si>
  <si>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</si>
  <si>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</si>
  <si>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</si>
  <si>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</si>
  <si>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</si>
  <si>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</si>
  <si>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</si>
  <si>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</si>
  <si>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</si>
  <si>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</si>
  <si>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</si>
  <si>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</si>
  <si>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</si>
  <si>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</si>
  <si>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</si>
  <si>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</si>
  <si>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</si>
  <si>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</si>
  <si>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</si>
  <si>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</si>
  <si>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</si>
  <si>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</si>
  <si>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</si>
  <si>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</si>
  <si>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</si>
  <si>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</si>
  <si>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</si>
  <si>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</si>
  <si>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</si>
  <si>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</si>
  <si>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</si>
  <si>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</si>
  <si>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</si>
  <si>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</si>
  <si>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</si>
  <si>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</si>
  <si>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</si>
  <si>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</si>
  <si>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</si>
  <si>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</si>
  <si>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</si>
  <si>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</si>
  <si>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</si>
  <si>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</si>
  <si>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</si>
  <si>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</si>
  <si>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</si>
  <si>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</si>
  <si>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</si>
  <si>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</si>
  <si>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</si>
  <si>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</si>
  <si>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</si>
  <si>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</si>
  <si>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</si>
  <si>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</si>
  <si>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</si>
  <si>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</si>
  <si>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</si>
  <si>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</si>
  <si>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</si>
  <si>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</si>
  <si>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</si>
  <si>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</si>
  <si>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</si>
  <si>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</si>
  <si>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</si>
  <si>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</si>
  <si>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</si>
  <si>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</si>
  <si>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</si>
  <si>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</si>
  <si>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</si>
  <si>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</si>
  <si>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</si>
  <si>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</si>
  <si>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</si>
  <si>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</si>
  <si>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</si>
  <si>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</si>
  <si>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</si>
  <si>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</si>
  <si>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</si>
  <si>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</si>
  <si>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</si>
  <si>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</si>
  <si>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</si>
  <si>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</si>
  <si>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</si>
  <si>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</si>
  <si>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</si>
  <si>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</si>
  <si>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</si>
  <si>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</si>
  <si>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</si>
  <si>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</si>
  <si>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</si>
  <si>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</si>
  <si>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</si>
  <si>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</si>
  <si>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</si>
  <si>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</si>
  <si>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</si>
  <si>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</si>
  <si>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</si>
  <si>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</si>
  <si>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</si>
  <si>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</si>
  <si>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</si>
  <si>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</si>
  <si>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</si>
  <si>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</si>
  <si>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</si>
  <si>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</si>
  <si>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</si>
  <si>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</si>
  <si>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</si>
  <si>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</si>
  <si>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</si>
  <si>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</si>
  <si>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</si>
  <si>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</si>
  <si>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</si>
  <si>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</si>
  <si>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</si>
  <si>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</si>
  <si>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</si>
  <si>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</si>
  <si>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</si>
  <si>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</si>
  <si>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</si>
  <si>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</si>
  <si>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</si>
  <si>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</si>
  <si>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</si>
  <si>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</si>
  <si>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</si>
  <si>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</si>
  <si>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</si>
  <si>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</si>
  <si>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</si>
  <si>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</si>
  <si>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</si>
  <si>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</si>
  <si>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</si>
  <si>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</si>
  <si>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</si>
  <si>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</si>
  <si>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</si>
  <si>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</si>
  <si>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</si>
  <si>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</si>
  <si>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</si>
  <si>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</si>
  <si>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</si>
  <si>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</si>
  <si>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</si>
  <si>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</si>
  <si>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</si>
  <si>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</si>
  <si>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</si>
  <si>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</si>
  <si>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</si>
  <si>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</si>
  <si>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</si>
  <si>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</si>
  <si>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</si>
  <si>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</si>
  <si>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</si>
  <si>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</si>
  <si>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</si>
  <si>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</si>
  <si>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</si>
  <si>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</si>
  <si>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</si>
  <si>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</si>
  <si>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</si>
  <si>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</si>
  <si>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</si>
  <si>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</si>
  <si>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</si>
  <si>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</si>
  <si>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</si>
  <si>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</si>
  <si>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</si>
  <si>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</si>
  <si>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</si>
  <si>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</si>
  <si>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</si>
  <si>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</si>
  <si>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</si>
  <si>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</si>
  <si>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</si>
  <si>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</si>
  <si>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</si>
  <si>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</si>
  <si>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</si>
  <si>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</si>
  <si>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</si>
  <si>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</si>
  <si>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</si>
  <si>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</si>
  <si>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</si>
  <si>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</si>
  <si>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</si>
  <si>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</si>
  <si>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</si>
  <si>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</si>
  <si>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</si>
  <si>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</si>
  <si>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</si>
  <si>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</si>
  <si>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</si>
  <si>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</si>
  <si>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</si>
  <si>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</si>
  <si>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</si>
  <si>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</si>
  <si>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</si>
  <si>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</si>
  <si>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</si>
  <si>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</si>
  <si>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</si>
  <si>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</si>
  <si>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</si>
  <si>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</si>
  <si>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</si>
  <si>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</si>
  <si>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</si>
  <si>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</si>
  <si>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</si>
  <si>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</si>
  <si>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</si>
  <si>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</si>
  <si>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</si>
  <si>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</si>
  <si>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</si>
  <si>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</si>
  <si>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</si>
  <si>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</si>
  <si>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</si>
  <si>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</si>
  <si>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</si>
  <si>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</si>
  <si>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</si>
  <si>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</si>
  <si>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</si>
  <si>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</si>
  <si>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</si>
  <si>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</si>
  <si>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</si>
  <si>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</si>
  <si>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</si>
  <si>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</si>
  <si>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</si>
  <si>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</si>
  <si>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</si>
  <si>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</si>
  <si>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</si>
  <si>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</si>
  <si>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</si>
  <si>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</si>
  <si>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</si>
  <si>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</si>
  <si>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</si>
  <si>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</si>
  <si>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</si>
  <si>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</si>
  <si>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</si>
  <si>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</si>
  <si>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</si>
  <si>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</si>
  <si>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</si>
  <si>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</si>
  <si>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</si>
  <si>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</si>
  <si>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</si>
  <si>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</si>
  <si>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</si>
  <si>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</si>
  <si>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</si>
  <si>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</si>
  <si>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</si>
  <si>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</si>
  <si>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</si>
  <si>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</si>
  <si>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</si>
  <si>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</si>
  <si>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</si>
  <si>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</si>
  <si>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</si>
  <si>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</si>
  <si>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</si>
  <si>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</si>
  <si>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</si>
  <si>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</si>
  <si>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</si>
  <si>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</si>
  <si>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</si>
  <si>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</si>
  <si>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</si>
  <si>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</si>
  <si>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</si>
  <si>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</si>
  <si>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</si>
  <si>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</si>
  <si>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</si>
  <si>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</si>
  <si>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</si>
  <si>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</si>
  <si>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</si>
  <si>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</si>
  <si>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</si>
  <si>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</si>
  <si>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</si>
  <si>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</si>
  <si>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</si>
  <si>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</si>
  <si>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</si>
  <si>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</si>
  <si>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</si>
  <si>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</si>
  <si>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</si>
  <si>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</si>
  <si>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</si>
  <si>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</si>
  <si>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</si>
  <si>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</si>
  <si>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</si>
  <si>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</si>
  <si>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</si>
  <si>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</si>
  <si>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</si>
  <si>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</si>
  <si>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</si>
  <si>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</si>
  <si>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</si>
  <si>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</si>
  <si>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</si>
  <si>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</si>
  <si>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</si>
  <si>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</si>
  <si>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</si>
  <si>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</si>
  <si>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</si>
  <si>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</si>
  <si>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</si>
  <si>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</si>
  <si>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</si>
  <si>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</si>
  <si>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</si>
  <si>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</si>
  <si>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</si>
  <si>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</si>
  <si>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</si>
  <si>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</si>
  <si>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</si>
  <si>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</si>
  <si>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</si>
  <si>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</si>
  <si>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</si>
  <si>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</si>
  <si>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</si>
  <si>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</si>
  <si>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</si>
  <si>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</si>
  <si>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</si>
  <si>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</si>
  <si>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</si>
  <si>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</si>
  <si>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</si>
  <si>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</si>
  <si>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</si>
  <si>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</si>
  <si>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</si>
  <si>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</si>
  <si>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</si>
  <si>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</si>
  <si>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</si>
  <si>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</si>
  <si>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</si>
  <si>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</si>
  <si>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</si>
  <si>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</si>
  <si>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</si>
  <si>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</si>
  <si>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</si>
  <si>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</si>
  <si>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</si>
  <si>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</si>
  <si>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</si>
  <si>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</si>
  <si>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</si>
  <si>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</si>
  <si>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</si>
  <si>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</si>
  <si>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</si>
  <si>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</si>
  <si>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</si>
  <si>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</si>
  <si>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</si>
  <si>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</si>
  <si>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</si>
  <si>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</si>
  <si>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</si>
  <si>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</si>
  <si>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</si>
  <si>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</si>
  <si>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</si>
  <si>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</si>
  <si>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</si>
  <si>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</si>
  <si>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</si>
  <si>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</si>
  <si>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</si>
  <si>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</si>
  <si>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</si>
  <si>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</si>
  <si>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</si>
  <si>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</si>
  <si>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</si>
  <si>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</si>
  <si>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</si>
  <si>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</si>
  <si>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</si>
  <si>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</si>
  <si>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</si>
  <si>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</si>
  <si>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</si>
  <si>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</si>
  <si>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</si>
  <si>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</si>
  <si>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</si>
  <si>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</si>
  <si>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</si>
  <si>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</si>
  <si>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</si>
  <si>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</si>
  <si>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</si>
  <si>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</si>
  <si>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</si>
  <si>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</si>
  <si>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</si>
  <si>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</si>
  <si>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</si>
  <si>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</si>
  <si>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</si>
  <si>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</si>
  <si>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</si>
  <si>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</si>
  <si>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</si>
  <si>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</si>
  <si>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</si>
  <si>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</si>
  <si>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</si>
  <si>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</si>
  <si>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</si>
  <si>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</si>
  <si>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</si>
  <si>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</si>
  <si>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</si>
  <si>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</si>
  <si>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</si>
  <si>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</si>
  <si>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</si>
  <si>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</si>
  <si>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</si>
  <si>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</si>
  <si>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</si>
  <si>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</si>
  <si>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</si>
  <si>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</si>
  <si>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</si>
  <si>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</si>
  <si>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</si>
  <si>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</si>
  <si>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</si>
  <si>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</si>
  <si>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</si>
  <si>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</si>
  <si>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</si>
  <si>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</si>
  <si>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</si>
  <si>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</si>
  <si>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</si>
  <si>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</si>
  <si>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</si>
  <si>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</si>
  <si>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</si>
  <si>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</si>
  <si>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</si>
  <si>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</si>
  <si>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</si>
  <si>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</si>
  <si>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</si>
  <si>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</si>
  <si>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</si>
  <si>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</si>
  <si>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</si>
  <si>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</si>
  <si>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</si>
  <si>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</si>
  <si>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</si>
  <si>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</si>
  <si>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</si>
  <si>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</si>
  <si>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</si>
  <si>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</si>
  <si>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</si>
  <si>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</si>
  <si>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</si>
  <si>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</si>
  <si>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</si>
  <si>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</si>
  <si>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</si>
  <si>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</si>
  <si>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</si>
  <si>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</si>
  <si>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</si>
  <si>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</si>
  <si>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</si>
  <si>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</si>
  <si>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</si>
  <si>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</si>
  <si>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</si>
  <si>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</si>
  <si>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</si>
  <si>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</si>
  <si>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</si>
  <si>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</si>
  <si>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</si>
  <si>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</si>
  <si>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</si>
  <si>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</si>
  <si>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</si>
  <si>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</si>
  <si>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</si>
  <si>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</si>
  <si>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</si>
  <si>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</si>
  <si>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</si>
  <si>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</si>
  <si>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</si>
  <si>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</si>
  <si>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</si>
  <si>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</si>
  <si>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</si>
  <si>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</si>
  <si>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</si>
  <si>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</si>
  <si>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</si>
  <si>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</si>
  <si>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</si>
  <si>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</si>
  <si>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</si>
  <si>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</si>
  <si>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</si>
  <si>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</si>
  <si>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</si>
  <si>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</si>
  <si>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</si>
  <si>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</si>
  <si>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</si>
  <si>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</si>
  <si>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</si>
  <si>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</si>
  <si>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</si>
  <si>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</si>
  <si>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</si>
  <si>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</si>
  <si>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</si>
  <si>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</si>
  <si>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</si>
  <si>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</si>
  <si>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</si>
  <si>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</si>
  <si>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</si>
  <si>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</si>
  <si>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</si>
  <si>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</si>
  <si>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</si>
  <si>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</si>
  <si>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</si>
  <si>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</si>
  <si>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</si>
  <si>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</si>
  <si>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</si>
  <si>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</si>
  <si>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</si>
  <si>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</si>
  <si>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</si>
  <si>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</si>
  <si>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</si>
  <si>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</si>
  <si>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</si>
  <si>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</si>
  <si>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</si>
  <si>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</si>
  <si>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</si>
  <si>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</si>
  <si>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</si>
  <si>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</si>
  <si>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</si>
  <si>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</si>
  <si>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</si>
  <si>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</si>
  <si>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</si>
  <si>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</si>
  <si>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</si>
  <si>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</si>
  <si>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</si>
  <si>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</si>
  <si>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</si>
  <si>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</si>
  <si>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</si>
  <si>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</si>
  <si>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</si>
  <si>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</si>
  <si>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</si>
  <si>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</si>
  <si>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</si>
  <si>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</si>
  <si>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</si>
  <si>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</si>
  <si>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</si>
  <si>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</si>
  <si>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</si>
  <si>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</si>
  <si>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</si>
  <si>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</si>
  <si>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</si>
  <si>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</si>
  <si>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</si>
  <si>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</si>
  <si>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</si>
  <si>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</si>
  <si>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</si>
  <si>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</si>
  <si>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</si>
  <si>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</si>
  <si>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</si>
  <si>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</si>
  <si>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</si>
  <si>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</si>
  <si>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</si>
  <si>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</si>
  <si>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</si>
  <si>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</si>
  <si>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</si>
  <si>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</si>
  <si>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</si>
  <si>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</si>
  <si>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</si>
  <si>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</si>
  <si>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</si>
  <si>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</si>
  <si>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</si>
  <si>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</si>
  <si>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</si>
  <si>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</si>
  <si>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</si>
  <si>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</si>
  <si>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</si>
  <si>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</si>
  <si>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</si>
  <si>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</si>
  <si>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</si>
  <si>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</si>
  <si>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</si>
  <si>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</si>
  <si>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</si>
  <si>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</si>
  <si>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</si>
  <si>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</si>
  <si>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</si>
  <si>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</si>
  <si>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</si>
  <si>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</si>
  <si>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</si>
  <si>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</si>
  <si>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</si>
  <si>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</si>
  <si>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</si>
  <si>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</si>
  <si>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</si>
  <si>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</si>
  <si>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</si>
  <si>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</si>
  <si>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</si>
  <si>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</si>
  <si>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</si>
  <si>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</si>
  <si>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</si>
  <si>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</si>
  <si>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</si>
  <si>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</si>
  <si>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</si>
  <si>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</si>
  <si>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</si>
  <si>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</si>
  <si>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</si>
  <si>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</si>
  <si>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</si>
  <si>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</si>
  <si>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</si>
  <si>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</si>
  <si>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</si>
  <si>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</si>
  <si>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</si>
  <si>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</si>
  <si>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</si>
  <si>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</si>
  <si>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</si>
  <si>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</si>
  <si>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</si>
  <si>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</si>
  <si>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</si>
  <si>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</si>
  <si>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</si>
  <si>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</si>
  <si>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</si>
  <si>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</si>
  <si>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</si>
  <si>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</si>
  <si>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</si>
  <si>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</si>
  <si>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</si>
  <si>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</si>
  <si>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</si>
  <si>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</si>
  <si>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</si>
  <si>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</si>
  <si>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</si>
  <si>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</si>
  <si>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</si>
  <si>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</si>
  <si>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</si>
  <si>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</si>
  <si>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</si>
  <si>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</si>
  <si>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</si>
  <si>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</si>
  <si>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</si>
  <si>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</si>
  <si>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</si>
  <si>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</si>
  <si>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</si>
  <si>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</si>
  <si>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</si>
  <si>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</si>
  <si>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</si>
  <si>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</si>
  <si>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</si>
  <si>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</si>
  <si>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</si>
  <si>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</si>
  <si>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</si>
  <si>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</si>
  <si>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</si>
  <si>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</si>
  <si>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</si>
  <si>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</si>
  <si>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</si>
  <si>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</si>
  <si>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</si>
  <si>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</si>
  <si>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</si>
  <si>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</si>
  <si>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</si>
  <si>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</si>
  <si>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</si>
  <si>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</si>
  <si>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</si>
  <si>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</si>
  <si>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</si>
  <si>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</si>
  <si>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</si>
  <si>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</si>
  <si>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</si>
  <si>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</si>
  <si>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</si>
  <si>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</si>
  <si>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</si>
  <si>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</si>
  <si>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</si>
  <si>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</si>
  <si>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</si>
  <si>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</si>
  <si>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</si>
  <si>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</si>
  <si>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</si>
  <si>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</si>
  <si>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</si>
  <si>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</si>
  <si>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</si>
  <si>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</si>
  <si>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</si>
  <si>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</si>
  <si>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</si>
  <si>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</si>
  <si>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</si>
  <si>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</si>
  <si>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</si>
  <si>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</si>
  <si>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</si>
  <si>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</si>
  <si>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</si>
  <si>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</si>
  <si>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</si>
  <si>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</si>
  <si>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</si>
  <si>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</si>
  <si>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</si>
  <si>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</si>
  <si>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</si>
  <si>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</si>
  <si>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</si>
  <si>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</si>
  <si>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</si>
  <si>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</si>
  <si>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</si>
  <si>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</si>
  <si>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</si>
  <si>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</si>
  <si>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</si>
  <si>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</si>
  <si>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</si>
  <si>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</si>
  <si>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</si>
  <si>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</si>
  <si>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</si>
  <si>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</si>
  <si>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</si>
  <si>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</si>
  <si>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</si>
  <si>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</si>
  <si>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</si>
  <si>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</si>
  <si>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</si>
  <si>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</si>
  <si>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</si>
  <si>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</si>
  <si>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</si>
  <si>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</si>
  <si>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</si>
  <si>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</si>
  <si>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</si>
  <si>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</si>
  <si>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</si>
  <si>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</si>
  <si>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</si>
  <si>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</si>
  <si>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</si>
  <si>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</si>
  <si>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</si>
  <si>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</si>
  <si>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</si>
  <si>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</si>
  <si>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</si>
  <si>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</si>
  <si>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</si>
  <si>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</si>
  <si>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</si>
  <si>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</si>
  <si>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</si>
  <si>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</si>
  <si>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</si>
  <si>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</si>
  <si>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</si>
  <si>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</si>
  <si>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</si>
  <si>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</si>
  <si>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</si>
  <si>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</si>
  <si>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</si>
  <si>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</si>
  <si>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</si>
  <si>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</si>
  <si>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</si>
  <si>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</si>
  <si>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</si>
  <si>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</si>
  <si>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</si>
  <si>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</si>
  <si>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</si>
  <si>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</si>
  <si>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</si>
  <si>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</si>
  <si>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</si>
  <si>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</si>
  <si>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</si>
  <si>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</si>
  <si>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</si>
  <si>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</si>
  <si>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</si>
  <si>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</si>
  <si>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</si>
  <si>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</si>
  <si>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</si>
  <si>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</si>
  <si>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</si>
  <si>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</si>
  <si>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</si>
  <si>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</si>
  <si>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</si>
  <si>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</si>
  <si>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</si>
  <si>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</si>
  <si>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</si>
  <si>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</si>
  <si>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</si>
  <si>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</si>
  <si>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</si>
  <si>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</si>
  <si>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</si>
  <si>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</si>
  <si>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</si>
  <si>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</si>
  <si>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</si>
  <si>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</si>
  <si>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</si>
  <si>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</si>
  <si>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</si>
  <si>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</si>
  <si>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</si>
  <si>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</si>
  <si>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</si>
  <si>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</si>
  <si>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</si>
  <si>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</si>
  <si>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</si>
  <si>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</si>
  <si>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</si>
  <si>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</si>
  <si>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</si>
  <si>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</si>
  <si>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</si>
  <si>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</si>
  <si>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</si>
  <si>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</si>
  <si>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</si>
  <si>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</si>
  <si>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</si>
  <si>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</si>
  <si>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</si>
  <si>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</si>
  <si>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</si>
  <si>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</si>
  <si>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</si>
  <si>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</si>
  <si>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</si>
  <si>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</si>
  <si>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</si>
  <si>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</si>
  <si>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</si>
  <si>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</si>
  <si>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</si>
  <si>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</si>
  <si>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</si>
  <si>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</si>
  <si>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</si>
  <si>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</si>
  <si>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</si>
  <si>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</si>
  <si>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</si>
  <si>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</si>
  <si>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</si>
  <si>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</si>
  <si>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</si>
  <si>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</si>
  <si>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</si>
  <si>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</si>
  <si>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</si>
  <si>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</si>
  <si>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</si>
  <si>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</si>
  <si>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</si>
  <si>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</si>
  <si>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</si>
  <si>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</si>
  <si>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</si>
  <si>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</si>
  <si>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</si>
  <si>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</si>
  <si>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</si>
  <si>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</si>
  <si>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</si>
  <si>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</si>
  <si>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</si>
  <si>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</si>
  <si>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</si>
  <si>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</si>
  <si>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</si>
  <si>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</si>
  <si>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</si>
  <si>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</si>
  <si>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</si>
  <si>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</si>
  <si>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</si>
  <si>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</si>
  <si>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</si>
  <si>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</si>
  <si>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</si>
  <si>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</si>
  <si>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</si>
  <si>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</si>
  <si>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</si>
  <si>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</si>
  <si>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</si>
  <si>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</si>
  <si>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</si>
  <si>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</si>
  <si>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</si>
  <si>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</si>
  <si>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</si>
  <si>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</si>
  <si>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</si>
  <si>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</si>
  <si>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</si>
  <si>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</si>
  <si>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</si>
  <si>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</si>
  <si>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</si>
  <si>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</si>
  <si>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</si>
  <si>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</si>
  <si>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</si>
  <si>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</si>
  <si>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</si>
  <si>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</si>
  <si>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</si>
  <si>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</si>
  <si>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</si>
  <si>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</si>
  <si>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</si>
  <si>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</si>
  <si>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</si>
  <si>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</si>
  <si>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</si>
  <si>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</si>
  <si>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</si>
  <si>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</si>
  <si>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</si>
  <si>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</si>
  <si>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</si>
  <si>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</si>
  <si>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</si>
  <si>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</si>
  <si>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</si>
  <si>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</si>
  <si>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</si>
  <si>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</si>
  <si>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</si>
  <si>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</si>
  <si>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</si>
  <si>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</si>
  <si>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</si>
  <si>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</si>
  <si>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</si>
  <si>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</si>
  <si>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</si>
  <si>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</si>
  <si>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</si>
  <si>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</si>
  <si>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</si>
  <si>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</si>
  <si>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</si>
  <si>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</si>
  <si>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</si>
  <si>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</si>
  <si>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</si>
  <si>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</si>
  <si>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</si>
  <si>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</si>
  <si>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</si>
  <si>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</si>
  <si>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</si>
  <si>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</si>
  <si>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</si>
  <si>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</si>
  <si>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</si>
  <si>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</si>
  <si>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</si>
  <si>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</si>
  <si>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</si>
  <si>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</si>
  <si>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</si>
  <si>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</si>
  <si>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</si>
  <si>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</si>
  <si>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</si>
  <si>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</si>
  <si>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</si>
  <si>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</si>
  <si>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</si>
  <si>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</si>
  <si>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</si>
  <si>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</si>
  <si>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</si>
  <si>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</si>
  <si>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</si>
  <si>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</si>
  <si>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</si>
  <si>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</si>
  <si>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</si>
  <si>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</si>
  <si>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</si>
  <si>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</si>
  <si>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</si>
  <si>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</si>
  <si>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</si>
  <si>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</si>
  <si>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</si>
  <si>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</si>
  <si>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</si>
  <si>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</si>
  <si>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</si>
  <si>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</si>
  <si>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</si>
  <si>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</si>
  <si>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</si>
  <si>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</si>
  <si>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</si>
  <si>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</si>
  <si>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</si>
  <si>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</si>
  <si>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</si>
  <si>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</si>
  <si>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</si>
  <si>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</si>
  <si>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</si>
  <si>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</si>
  <si>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</si>
  <si>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</si>
  <si>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</si>
  <si>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</si>
  <si>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</si>
  <si>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</si>
  <si>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</si>
  <si>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</si>
  <si>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</si>
  <si>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</si>
  <si>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</si>
  <si>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</si>
  <si>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</si>
  <si>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</si>
  <si>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</si>
  <si>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</si>
  <si>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</si>
  <si>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</si>
  <si>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</si>
  <si>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</si>
  <si>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</si>
  <si>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</si>
  <si>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</si>
  <si>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</si>
  <si>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</si>
  <si>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</si>
  <si>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</si>
  <si>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</si>
  <si>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</si>
  <si>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</si>
  <si>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</si>
  <si>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</si>
  <si>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</si>
  <si>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</si>
  <si>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</si>
  <si>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</si>
  <si>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</si>
  <si>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</si>
  <si>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</si>
  <si>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</si>
  <si>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</si>
  <si>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</si>
  <si>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</si>
  <si>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</si>
  <si>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</si>
  <si>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</si>
  <si>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</si>
  <si>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</si>
  <si>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</si>
  <si>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</si>
  <si>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</si>
  <si>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</si>
  <si>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</si>
  <si>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</si>
  <si>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</si>
  <si>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</si>
  <si>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</si>
  <si>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</si>
  <si>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</si>
  <si>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</si>
  <si>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</si>
  <si>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</si>
  <si>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</si>
  <si>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</si>
  <si>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</si>
  <si>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</si>
  <si>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</si>
  <si>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</si>
  <si>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</si>
  <si>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</si>
  <si>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</si>
  <si>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</si>
  <si>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</si>
  <si>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</si>
  <si>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</si>
  <si>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</si>
  <si>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</si>
  <si>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</si>
  <si>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</si>
  <si>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</si>
  <si>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</si>
  <si>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</si>
  <si>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</si>
  <si>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</si>
  <si>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</si>
  <si>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</si>
  <si>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</si>
  <si>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</si>
  <si>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</si>
  <si>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</si>
  <si>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</si>
  <si>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</si>
  <si>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</si>
  <si>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</si>
  <si>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</si>
  <si>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</si>
  <si>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</si>
  <si>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</si>
  <si>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</si>
  <si>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</si>
  <si>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</si>
  <si>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</si>
  <si>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</si>
  <si>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</si>
  <si>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</si>
  <si>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</si>
  <si>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</si>
  <si>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</si>
  <si>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</si>
  <si>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</si>
  <si>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</si>
  <si>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</si>
  <si>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</si>
  <si>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</si>
  <si>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</si>
  <si>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</si>
  <si>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</si>
  <si>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</si>
  <si>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</si>
  <si>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</si>
  <si>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</si>
  <si>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</si>
  <si>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</si>
  <si>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</si>
  <si>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</si>
  <si>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</si>
  <si>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</si>
  <si>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</si>
  <si>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</si>
  <si>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</si>
  <si>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</si>
  <si>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</si>
  <si>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</si>
  <si>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</si>
  <si>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</si>
  <si>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</si>
  <si>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</si>
  <si>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</si>
  <si>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</si>
  <si>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</si>
  <si>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</si>
  <si>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</si>
  <si>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</si>
  <si>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</si>
  <si>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</si>
  <si>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</si>
  <si>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</si>
  <si>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</si>
  <si>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</si>
  <si>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</si>
  <si>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</si>
  <si>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</si>
  <si>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</si>
  <si>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</si>
  <si>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</si>
  <si>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</si>
  <si>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</si>
  <si>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</si>
  <si>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</si>
  <si>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</si>
  <si>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</si>
  <si>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</si>
  <si>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</si>
  <si>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</si>
  <si>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</si>
  <si>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</si>
  <si>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</si>
  <si>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</si>
  <si>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</si>
  <si>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</si>
  <si>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</si>
  <si>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</si>
  <si>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</si>
  <si>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</si>
  <si>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</si>
  <si>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</si>
  <si>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</si>
  <si>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</si>
  <si>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</si>
  <si>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</si>
  <si>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</si>
  <si>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</si>
  <si>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</si>
  <si>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</si>
  <si>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</si>
  <si>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</si>
  <si>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</si>
  <si>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</si>
  <si>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</si>
  <si>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</si>
  <si>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</si>
  <si>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</si>
  <si>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</si>
  <si>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</si>
  <si>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</si>
  <si>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</si>
  <si>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</si>
  <si>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</si>
  <si>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</si>
  <si>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</si>
  <si>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</si>
  <si>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</si>
  <si>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</si>
  <si>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</si>
  <si>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</si>
  <si>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</si>
  <si>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</si>
  <si>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</si>
  <si>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</si>
  <si>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</si>
  <si>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</si>
  <si>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</si>
  <si>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</si>
  <si>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</si>
  <si>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</si>
  <si>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</si>
  <si>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</si>
  <si>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</si>
  <si>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</si>
  <si>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</si>
  <si>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</si>
  <si>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</si>
  <si>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</si>
  <si>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</si>
  <si>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</si>
  <si>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</si>
  <si>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</si>
  <si>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</si>
  <si>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</si>
  <si>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</si>
  <si>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</si>
  <si>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</si>
  <si>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</si>
  <si>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</si>
  <si>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</si>
  <si>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</si>
  <si>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</si>
  <si>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</si>
  <si>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</si>
  <si>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</si>
  <si>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</si>
  <si>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</si>
  <si>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</si>
  <si>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</si>
  <si>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</si>
  <si>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</si>
  <si>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</si>
  <si>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</si>
  <si>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</si>
  <si>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</si>
  <si>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</si>
  <si>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</si>
  <si>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</si>
  <si>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</si>
  <si>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</si>
  <si>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</si>
  <si>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</si>
  <si>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</si>
  <si>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</si>
  <si>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</si>
  <si>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</si>
  <si>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</si>
  <si>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</si>
  <si>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</si>
  <si>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</si>
  <si>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</si>
  <si>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</si>
  <si>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</si>
  <si>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</si>
  <si>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</si>
  <si>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</si>
  <si>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</si>
  <si>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</si>
  <si>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</si>
  <si>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</si>
  <si>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</si>
  <si>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</si>
  <si>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</si>
  <si>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</si>
  <si>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</si>
  <si>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</si>
  <si>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</si>
  <si>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</si>
  <si>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</si>
  <si>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</si>
  <si>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</si>
  <si>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</si>
  <si>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</si>
  <si>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</si>
  <si>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</si>
  <si>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</si>
  <si>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</si>
  <si>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</si>
  <si>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</si>
  <si>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</si>
  <si>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</si>
  <si>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</si>
  <si>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</si>
  <si>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</si>
  <si>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</si>
  <si>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</si>
  <si>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</si>
  <si>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</si>
  <si>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</si>
  <si>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</si>
  <si>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</si>
  <si>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</si>
  <si>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</si>
  <si>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</si>
  <si>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</si>
  <si>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</si>
  <si>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</si>
  <si>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</si>
  <si>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</si>
  <si>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</si>
  <si>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</si>
  <si>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</si>
  <si>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</si>
  <si>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</si>
  <si>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</si>
  <si>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</si>
  <si>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</si>
  <si>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</si>
  <si>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</si>
  <si>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</si>
  <si>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</si>
  <si>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</si>
  <si>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</si>
  <si>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</si>
  <si>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</si>
  <si>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</si>
  <si>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</si>
  <si>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</si>
  <si>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</si>
  <si>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</si>
  <si>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</si>
  <si>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</si>
  <si>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</si>
  <si>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</si>
  <si>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</si>
  <si>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</si>
  <si>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</si>
  <si>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</si>
  <si>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</si>
  <si>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</si>
  <si>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</si>
  <si>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</si>
  <si>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</si>
  <si>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</si>
  <si>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</si>
  <si>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</si>
  <si>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</si>
  <si>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</si>
  <si>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</si>
  <si>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</si>
  <si>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</si>
  <si>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</si>
  <si>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</si>
  <si>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</si>
  <si>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</si>
  <si>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</si>
  <si>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</si>
  <si>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</si>
  <si>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</si>
  <si>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</si>
  <si>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</si>
  <si>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</si>
  <si>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</si>
  <si>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</si>
  <si>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</si>
  <si>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</si>
  <si>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</si>
  <si>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</si>
  <si>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</si>
  <si>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</si>
  <si>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</si>
  <si>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</si>
  <si>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</si>
  <si>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</si>
  <si>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</si>
  <si>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</si>
  <si>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</si>
  <si>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</si>
  <si>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</si>
  <si>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</si>
  <si>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</si>
  <si>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</si>
  <si>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</si>
  <si>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</si>
  <si>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</si>
  <si>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</si>
  <si>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</si>
  <si>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</si>
  <si>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</si>
  <si>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</si>
  <si>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</si>
  <si>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</si>
  <si>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</si>
  <si>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</si>
  <si>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</si>
  <si>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</si>
  <si>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</si>
  <si>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</si>
  <si>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</si>
  <si>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</si>
  <si>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</si>
  <si>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</si>
  <si>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</si>
  <si>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</si>
  <si>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</si>
  <si>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</si>
  <si>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</si>
  <si>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</si>
  <si>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</si>
  <si>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</si>
  <si>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</si>
  <si>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</si>
  <si>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</si>
  <si>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</si>
  <si>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</si>
  <si>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</si>
  <si>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</si>
  <si>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</si>
  <si>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</si>
  <si>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</si>
  <si>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</si>
  <si>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</si>
  <si>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</si>
  <si>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</si>
  <si>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</si>
  <si>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</si>
  <si>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</si>
  <si>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</si>
  <si>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</si>
  <si>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</si>
  <si>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</si>
  <si>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</si>
  <si>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</si>
  <si>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</si>
  <si>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</si>
  <si>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</si>
  <si>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</si>
  <si>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</si>
  <si>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</si>
  <si>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</si>
  <si>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</si>
  <si>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</si>
  <si>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</si>
  <si>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</si>
  <si>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</si>
  <si>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</si>
  <si>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</si>
  <si>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</si>
  <si>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</si>
  <si>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</si>
  <si>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</si>
  <si>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</si>
  <si>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</si>
  <si>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</si>
  <si>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</si>
  <si>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</si>
  <si>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</si>
  <si>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</si>
  <si>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</si>
  <si>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</si>
  <si>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</si>
  <si>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</si>
  <si>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</si>
  <si>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</si>
  <si>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</si>
  <si>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</si>
  <si>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</si>
  <si>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</si>
  <si>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</si>
  <si>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</si>
  <si>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</si>
  <si>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</si>
  <si>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</si>
  <si>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</si>
  <si>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</si>
  <si>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</si>
  <si>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</si>
  <si>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</si>
  <si>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</si>
  <si>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</si>
  <si>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</si>
  <si>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</si>
  <si>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</si>
  <si>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</si>
  <si>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</si>
  <si>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</si>
  <si>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</si>
  <si>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</si>
  <si>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</si>
  <si>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</si>
  <si>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</si>
  <si>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</si>
  <si>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</si>
  <si>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</si>
  <si>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</si>
  <si>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</si>
  <si>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</si>
  <si>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</si>
  <si>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</si>
  <si>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</si>
  <si>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</si>
  <si>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</si>
  <si>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</si>
  <si>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</si>
  <si>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</si>
  <si>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</si>
  <si>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</si>
  <si>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</si>
  <si>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</si>
  <si>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</si>
  <si>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</si>
  <si>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</si>
  <si>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</si>
  <si>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</si>
  <si>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</si>
  <si>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</si>
  <si>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</si>
  <si>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</si>
  <si>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</si>
  <si>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</si>
  <si>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</si>
  <si>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</si>
  <si>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</si>
  <si>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</si>
  <si>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</si>
  <si>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</si>
  <si>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</si>
  <si>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</si>
  <si>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</si>
  <si>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</si>
  <si>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</si>
  <si>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</si>
  <si>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</si>
  <si>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</si>
  <si>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</si>
  <si>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</si>
  <si>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</si>
  <si>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</si>
  <si>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</si>
  <si>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</si>
  <si>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</si>
  <si>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</si>
  <si>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</si>
  <si>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</si>
  <si>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</si>
  <si>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</si>
  <si>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</si>
  <si>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</si>
  <si>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</si>
  <si>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</si>
  <si>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</si>
  <si>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</si>
  <si>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</si>
  <si>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</si>
  <si>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</si>
  <si>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</si>
  <si>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</si>
  <si>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</si>
  <si>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</si>
  <si>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</si>
  <si>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</si>
  <si>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</si>
  <si>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</si>
  <si>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</si>
  <si>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</si>
  <si>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</si>
  <si>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</si>
  <si>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</si>
  <si>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</si>
  <si>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</si>
  <si>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</si>
  <si>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</si>
  <si>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</si>
  <si>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</si>
  <si>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</si>
  <si>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</si>
  <si>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</si>
  <si>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</si>
  <si>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</si>
  <si>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</si>
  <si>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</si>
  <si>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</si>
  <si>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</si>
  <si>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</si>
  <si>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</si>
  <si>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</si>
  <si>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</si>
  <si>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</si>
  <si>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</si>
  <si>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</si>
  <si>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</si>
  <si>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</si>
  <si>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</si>
  <si>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</si>
  <si>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</si>
  <si>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</si>
  <si>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</si>
  <si>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</si>
  <si>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</si>
  <si>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</si>
  <si>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</si>
  <si>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</si>
  <si>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</si>
  <si>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</si>
  <si>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</si>
  <si>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</si>
  <si>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</si>
  <si>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</si>
  <si>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</si>
  <si>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</si>
  <si>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</si>
  <si>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</si>
  <si>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</si>
  <si>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</si>
  <si>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</si>
  <si>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</si>
  <si>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</si>
  <si>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</si>
  <si>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</si>
  <si>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</si>
  <si>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</si>
  <si>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</si>
  <si>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</si>
  <si>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</si>
  <si>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</si>
  <si>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</si>
  <si>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</si>
  <si>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</si>
  <si>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</si>
  <si>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</si>
  <si>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</si>
  <si>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</si>
  <si>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</si>
  <si>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</si>
  <si>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</si>
  <si>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</si>
  <si>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</si>
  <si>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</si>
  <si>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</si>
  <si>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</si>
  <si>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</si>
  <si>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</si>
  <si>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</si>
  <si>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</si>
  <si>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</si>
  <si>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</si>
  <si>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</si>
  <si>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</si>
  <si>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</si>
  <si>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</si>
  <si>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</si>
  <si>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</si>
  <si>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</si>
  <si>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</si>
  <si>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</si>
  <si>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</si>
  <si>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</si>
  <si>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</si>
  <si>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</si>
  <si>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</si>
  <si>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</si>
  <si>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</si>
  <si>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</si>
  <si>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</si>
  <si>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</si>
  <si>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</si>
  <si>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</si>
  <si>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</si>
  <si>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</si>
  <si>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</si>
  <si>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</si>
  <si>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</si>
  <si>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</si>
  <si>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</si>
  <si>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</si>
  <si>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</si>
  <si>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</si>
  <si>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</si>
  <si>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</si>
  <si>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</si>
  <si>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</si>
  <si>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</si>
  <si>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</si>
  <si>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</si>
  <si>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</si>
  <si>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</si>
  <si>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</si>
  <si>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</si>
  <si>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</si>
  <si>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</si>
  <si>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</si>
  <si>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</si>
  <si>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</si>
  <si>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</si>
  <si>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</si>
  <si>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</si>
  <si>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</si>
  <si>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</si>
  <si>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</si>
  <si>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</si>
  <si>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</si>
  <si>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</si>
  <si>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</si>
  <si>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</si>
  <si>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</si>
  <si>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</si>
  <si>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</si>
  <si>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</si>
  <si>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</si>
  <si>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</si>
  <si>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</si>
  <si>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</si>
  <si>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</si>
  <si>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</si>
  <si>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</si>
  <si>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</si>
  <si>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</si>
  <si>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</si>
  <si>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</si>
  <si>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</si>
  <si>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</si>
  <si>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</si>
  <si>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</si>
  <si>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</si>
  <si>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</si>
  <si>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</si>
  <si>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</si>
  <si>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</si>
  <si>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</si>
  <si>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</si>
  <si>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</si>
  <si>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</si>
  <si>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</si>
  <si>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</si>
  <si>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</si>
  <si>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</si>
  <si>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</si>
  <si>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</si>
  <si>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</si>
  <si>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</si>
  <si>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</si>
  <si>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</si>
  <si>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</si>
  <si>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</si>
  <si>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</si>
  <si>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</si>
  <si>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</si>
  <si>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</si>
  <si>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</si>
  <si>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</si>
  <si>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</si>
  <si>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</si>
  <si>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</si>
  <si>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</si>
  <si>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</si>
  <si>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</si>
  <si>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</si>
  <si>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</si>
  <si>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</si>
  <si>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</si>
  <si>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</si>
  <si>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</si>
  <si>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</si>
  <si>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</si>
  <si>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</si>
  <si>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</si>
  <si>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</si>
  <si>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</si>
  <si>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</si>
  <si>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</si>
  <si>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</si>
  <si>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</si>
  <si>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</si>
  <si>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</si>
  <si>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</si>
  <si>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</si>
  <si>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</si>
  <si>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</si>
  <si>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</si>
  <si>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</si>
  <si>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</si>
  <si>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</si>
  <si>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</si>
  <si>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</si>
  <si>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</si>
  <si>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</si>
  <si>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</si>
  <si>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</si>
  <si>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</si>
  <si>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</si>
  <si>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</si>
  <si>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</si>
  <si>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</si>
  <si>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</si>
  <si>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</si>
  <si>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</si>
  <si>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</si>
  <si>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</si>
  <si>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</si>
  <si>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</si>
  <si>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</si>
  <si>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</si>
  <si>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</si>
  <si>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</si>
  <si>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</si>
  <si>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</si>
  <si>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</si>
  <si>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</si>
  <si>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</si>
  <si>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</si>
  <si>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</si>
  <si>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</si>
  <si>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</si>
  <si>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</si>
  <si>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</si>
  <si>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</si>
  <si>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</si>
  <si>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</si>
  <si>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</si>
  <si>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</si>
  <si>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</si>
  <si>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</si>
  <si>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</si>
  <si>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</si>
  <si>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</si>
  <si>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</si>
  <si>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</si>
  <si>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</si>
  <si>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</si>
  <si>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</si>
  <si>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</si>
  <si>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</si>
  <si>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</si>
  <si>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</si>
  <si>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</si>
  <si>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</si>
  <si>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</si>
  <si>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</si>
  <si>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</si>
  <si>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</si>
  <si>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</si>
  <si>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</si>
  <si>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</si>
  <si>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</si>
  <si>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</si>
  <si>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</si>
  <si>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</si>
  <si>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</si>
  <si>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</si>
  <si>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</si>
  <si>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</si>
  <si>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</si>
  <si>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</si>
  <si>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</si>
  <si>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</si>
  <si>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</si>
  <si>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</si>
  <si>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</si>
  <si>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</si>
  <si>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</si>
  <si>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</si>
  <si>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</si>
  <si>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</si>
  <si>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</si>
  <si>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</si>
  <si>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</si>
  <si>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</si>
  <si>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</si>
  <si>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</si>
  <si>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</si>
  <si>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</si>
  <si>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</si>
  <si>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</si>
  <si>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</si>
  <si>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</si>
  <si>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</si>
  <si>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</si>
  <si>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</si>
  <si>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</si>
  <si>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</si>
  <si>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</si>
  <si>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</si>
  <si>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</si>
  <si>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</si>
  <si>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</si>
  <si>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</si>
  <si>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</si>
  <si>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</si>
  <si>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</si>
  <si>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</si>
  <si>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</si>
  <si>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</si>
  <si>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</si>
  <si>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</si>
  <si>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</si>
  <si>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</si>
  <si>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</si>
  <si>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</si>
  <si>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</si>
  <si>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</si>
  <si>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</si>
  <si>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</si>
  <si>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</si>
  <si>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</si>
  <si>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</si>
  <si>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</si>
  <si>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</si>
  <si>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</si>
  <si>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</si>
  <si>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</si>
  <si>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</si>
  <si>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</si>
  <si>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</si>
  <si>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</si>
  <si>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</si>
  <si>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</si>
  <si>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</si>
  <si>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</si>
  <si>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</si>
  <si>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</si>
  <si>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</si>
  <si>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</si>
  <si>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</si>
  <si>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</si>
  <si>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</si>
  <si>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</si>
  <si>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</si>
  <si>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</si>
  <si>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</si>
  <si>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</si>
  <si>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</si>
  <si>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</si>
  <si>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</si>
  <si>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</si>
  <si>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</si>
  <si>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</si>
  <si>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</si>
  <si>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</si>
  <si>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</si>
  <si>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</si>
  <si>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</si>
  <si>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</si>
  <si>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</si>
  <si>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</si>
  <si>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</si>
  <si>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</si>
  <si>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</si>
  <si>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</si>
  <si>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</si>
  <si>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</si>
  <si>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</si>
  <si>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</si>
  <si>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</si>
  <si>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</si>
  <si>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</si>
  <si>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</si>
  <si>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</si>
  <si>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</si>
  <si>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</si>
  <si>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</si>
  <si>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</si>
  <si>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</si>
  <si>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</si>
  <si>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</si>
  <si>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</si>
  <si>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</si>
  <si>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</si>
  <si>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</si>
  <si>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</si>
  <si>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</si>
  <si>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</si>
  <si>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</si>
  <si>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</si>
  <si>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</si>
  <si>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</si>
  <si>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</si>
  <si>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</si>
  <si>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</si>
  <si>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</si>
  <si>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</si>
  <si>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</si>
  <si>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</si>
  <si>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</si>
  <si>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</si>
  <si>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</si>
  <si>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</si>
  <si>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</si>
  <si>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</si>
  <si>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</si>
  <si>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</si>
  <si>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</si>
  <si>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</si>
  <si>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</si>
  <si>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</si>
  <si>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</si>
  <si>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</si>
  <si>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</si>
  <si>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</si>
  <si>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</si>
  <si>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</si>
  <si>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</si>
  <si>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</si>
  <si>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</si>
  <si>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</si>
  <si>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</si>
  <si>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</si>
  <si>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</si>
  <si>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</si>
  <si>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</si>
  <si>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</si>
  <si>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</si>
  <si>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</si>
  <si>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</si>
  <si>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</si>
  <si>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</si>
  <si>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</si>
  <si>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</si>
  <si>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</si>
  <si>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</si>
  <si>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</si>
  <si>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</si>
  <si>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</si>
  <si>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</si>
  <si>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</si>
  <si>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</si>
  <si>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</si>
  <si>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</si>
  <si>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</si>
  <si>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</si>
  <si>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</si>
  <si>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</si>
  <si>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</si>
  <si>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</si>
  <si>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</si>
  <si>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</si>
  <si>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</si>
  <si>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</si>
  <si>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</si>
  <si>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</si>
  <si>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</si>
  <si>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</si>
  <si>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</si>
  <si>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</si>
  <si>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</si>
  <si>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</si>
  <si>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</si>
  <si>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</si>
  <si>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</si>
  <si>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</si>
  <si>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</si>
  <si>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</si>
  <si>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</si>
  <si>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</si>
  <si>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</si>
  <si>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</si>
  <si>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</si>
  <si>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</si>
  <si>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</si>
  <si>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</si>
  <si>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</si>
  <si>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</si>
  <si>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</si>
  <si>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</si>
  <si>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</si>
  <si>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</si>
  <si>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</si>
  <si>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</si>
  <si>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</si>
  <si>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</si>
  <si>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</si>
  <si>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</si>
  <si>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</si>
  <si>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</si>
  <si>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</si>
  <si>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</si>
  <si>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</si>
  <si>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</si>
  <si>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</si>
  <si>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</si>
  <si>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</si>
  <si>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</si>
  <si>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</si>
  <si>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</si>
  <si>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</si>
  <si>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</si>
  <si>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</si>
  <si>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</si>
  <si>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</si>
  <si>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</si>
  <si>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</si>
  <si>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</si>
  <si>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</si>
  <si>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</si>
  <si>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</si>
  <si>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</si>
  <si>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</si>
  <si>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</si>
  <si>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</si>
  <si>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</si>
  <si>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</si>
  <si>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</si>
  <si>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</si>
  <si>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</si>
  <si>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</si>
  <si>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</si>
  <si>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</si>
  <si>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</si>
  <si>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</si>
  <si>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</si>
  <si>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</si>
  <si>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</si>
  <si>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</si>
  <si>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</si>
  <si>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</si>
  <si>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</si>
  <si>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</si>
  <si>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</si>
  <si>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</si>
  <si>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</si>
  <si>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</si>
  <si>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</si>
  <si>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</si>
  <si>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</si>
  <si>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</si>
  <si>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</si>
  <si>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</si>
  <si>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</si>
  <si>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</si>
  <si>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</si>
  <si>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</si>
  <si>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</si>
  <si>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</si>
  <si>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</si>
  <si>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</si>
  <si>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</si>
  <si>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</si>
  <si>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</si>
  <si>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</si>
  <si>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</si>
  <si>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</si>
  <si>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</si>
  <si>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</si>
  <si>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</si>
  <si>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</si>
  <si>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</si>
  <si>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</si>
  <si>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</si>
  <si>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</si>
  <si>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</si>
  <si>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</si>
  <si>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</si>
  <si>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</si>
  <si>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</si>
  <si>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</si>
  <si>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</si>
  <si>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</si>
  <si>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</si>
  <si>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</si>
  <si>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</si>
  <si>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</si>
  <si>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</si>
  <si>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</si>
  <si>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</si>
  <si>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</si>
  <si>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</si>
  <si>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</si>
  <si>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</si>
  <si>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</si>
  <si>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</si>
  <si>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</si>
  <si>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</si>
  <si>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</si>
  <si>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</si>
  <si>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</si>
  <si>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</si>
  <si>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</si>
  <si>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</si>
  <si>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</si>
  <si>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</si>
  <si>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</si>
  <si>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</si>
  <si>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</si>
  <si>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</si>
  <si>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</si>
  <si>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</si>
  <si>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</si>
  <si>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</si>
  <si>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</si>
  <si>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</si>
  <si>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</si>
  <si>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</si>
  <si>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</si>
  <si>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</si>
  <si>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</si>
  <si>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</si>
  <si>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</si>
  <si>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</si>
  <si>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</si>
  <si>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</si>
  <si>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</si>
  <si>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</si>
  <si>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</si>
  <si>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</si>
  <si>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</si>
  <si>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</si>
  <si>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</si>
  <si>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</si>
  <si>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</si>
  <si>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</si>
  <si>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</si>
  <si>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</si>
  <si>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</si>
  <si>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</si>
  <si>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</si>
  <si>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</si>
  <si>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</si>
  <si>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</si>
  <si>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</si>
  <si>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</si>
  <si>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</si>
  <si>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</si>
  <si>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</si>
  <si>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</si>
  <si>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</si>
  <si>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</si>
  <si>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</si>
  <si>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</si>
  <si>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</si>
  <si>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</si>
  <si>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</si>
  <si>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</si>
  <si>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</si>
  <si>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</si>
  <si>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</si>
  <si>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</si>
  <si>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</si>
  <si>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</si>
  <si>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</si>
  <si>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</si>
  <si>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</si>
  <si>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</si>
  <si>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</si>
  <si>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</si>
  <si>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</si>
  <si>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</si>
  <si>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</si>
  <si>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</si>
  <si>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</si>
  <si>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</si>
  <si>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</si>
  <si>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</si>
  <si>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</si>
  <si>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</si>
  <si>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</si>
  <si>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</si>
  <si>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</si>
  <si>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</si>
  <si>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</si>
  <si>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</si>
  <si>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</si>
  <si>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</si>
  <si>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</si>
  <si>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</si>
  <si>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</si>
  <si>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</si>
  <si>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</si>
  <si>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</si>
  <si>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</si>
  <si>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</si>
  <si>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</si>
  <si>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</si>
  <si>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</si>
  <si>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</si>
  <si>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</si>
  <si>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</si>
  <si>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</si>
  <si>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</si>
  <si>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</si>
  <si>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</si>
  <si>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</si>
  <si>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</si>
  <si>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</si>
  <si>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</si>
  <si>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</si>
  <si>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</si>
  <si>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</si>
  <si>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</si>
  <si>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</si>
  <si>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</si>
  <si>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</si>
  <si>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</si>
  <si>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</si>
  <si>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</si>
  <si>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</si>
  <si>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</si>
  <si>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</si>
  <si>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</si>
  <si>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</si>
  <si>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</si>
  <si>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</si>
  <si>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</si>
  <si>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</si>
  <si>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</si>
  <si>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</si>
  <si>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</si>
  <si>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</si>
  <si>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</si>
  <si>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</si>
  <si>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</si>
  <si>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</si>
  <si>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</si>
  <si>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</si>
  <si>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</si>
  <si>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</si>
  <si>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</si>
  <si>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</si>
  <si>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</si>
  <si>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</si>
  <si>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</si>
  <si>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</si>
  <si>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</si>
  <si>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</si>
  <si>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</si>
  <si>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</si>
  <si>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</si>
  <si>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</si>
  <si>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</si>
  <si>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</si>
  <si>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</si>
  <si>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</si>
  <si>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</si>
  <si>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</si>
  <si>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</si>
  <si>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</si>
  <si>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</si>
  <si>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</si>
  <si>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</si>
  <si>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</si>
  <si>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</si>
  <si>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</si>
  <si>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</si>
  <si>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</si>
  <si>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</si>
  <si>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</si>
  <si>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</si>
  <si>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</si>
  <si>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</si>
  <si>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</si>
  <si>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</si>
  <si>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</si>
  <si>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</si>
  <si>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</si>
  <si>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</si>
  <si>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</si>
  <si>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</si>
  <si>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</si>
  <si>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</si>
  <si>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</si>
  <si>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</si>
  <si>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</si>
  <si>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</si>
  <si>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</si>
  <si>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</si>
  <si>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</si>
  <si>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</si>
  <si>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</si>
  <si>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</si>
  <si>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</si>
  <si>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</si>
  <si>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</si>
  <si>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</si>
  <si>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</si>
  <si>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</si>
  <si>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</si>
  <si>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</si>
  <si>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</si>
  <si>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</si>
  <si>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</si>
  <si>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</si>
  <si>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</si>
  <si>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</si>
  <si>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</si>
  <si>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</si>
  <si>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</si>
  <si>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</si>
  <si>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</si>
  <si>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</si>
  <si>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</si>
  <si>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</si>
  <si>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</si>
  <si>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</si>
  <si>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</si>
  <si>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</si>
  <si>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</si>
  <si>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</si>
  <si>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</si>
  <si>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</si>
  <si>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</si>
  <si>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</si>
  <si>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</si>
  <si>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</si>
  <si>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</si>
  <si>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</si>
  <si>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</si>
  <si>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</si>
  <si>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</si>
  <si>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</si>
  <si>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</si>
  <si>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</si>
  <si>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</si>
  <si>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</si>
  <si>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</si>
  <si>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</si>
  <si>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</si>
  <si>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</si>
  <si>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</si>
  <si>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</si>
  <si>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</si>
  <si>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</si>
  <si>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</si>
  <si>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</si>
  <si>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</si>
  <si>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</si>
  <si>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</si>
  <si>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</si>
  <si>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</si>
  <si>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</si>
  <si>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</si>
  <si>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</si>
  <si>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</si>
  <si>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</si>
  <si>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</si>
  <si>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</si>
  <si>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</si>
  <si>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</si>
  <si>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</si>
  <si>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</si>
  <si>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</si>
  <si>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</si>
  <si>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</si>
  <si>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</si>
  <si>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</si>
  <si>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</si>
  <si>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</si>
  <si>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</si>
  <si>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</si>
  <si>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</si>
  <si>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</si>
  <si>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</si>
  <si>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</si>
  <si>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</si>
  <si>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</si>
  <si>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</si>
  <si>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</si>
  <si>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</si>
  <si>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</si>
  <si>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</si>
  <si>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</si>
  <si>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</si>
  <si>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</si>
  <si>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</si>
  <si>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</si>
  <si>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</si>
  <si>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</si>
  <si>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</si>
  <si>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</si>
  <si>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</si>
  <si>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</si>
  <si>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</si>
  <si>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</si>
  <si>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</si>
  <si>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</si>
  <si>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</si>
  <si>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</si>
  <si>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</si>
  <si>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</si>
  <si>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</si>
  <si>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</si>
  <si>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</si>
  <si>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</si>
  <si>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</si>
  <si>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</si>
  <si>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</si>
  <si>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</si>
  <si>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</si>
  <si>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</si>
  <si>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</si>
  <si>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</si>
  <si>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</si>
  <si>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</si>
  <si>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</si>
  <si>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</si>
  <si>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</si>
  <si>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</si>
  <si>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</si>
  <si>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</si>
  <si>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</si>
  <si>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</si>
  <si>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</si>
  <si>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</si>
  <si>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</si>
  <si>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</si>
  <si>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</si>
  <si>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</si>
  <si>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</si>
  <si>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</si>
  <si>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</si>
  <si>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</si>
  <si>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</si>
  <si>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</si>
  <si>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</si>
  <si>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</si>
  <si>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</si>
  <si>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</si>
  <si>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</si>
  <si>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</si>
  <si>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</si>
  <si>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</si>
  <si>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</si>
  <si>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</si>
  <si>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</si>
  <si>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</si>
  <si>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</si>
  <si>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</si>
  <si>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</si>
  <si>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</si>
  <si>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</si>
  <si>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</si>
  <si>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</si>
  <si>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</si>
  <si>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</si>
  <si>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</si>
  <si>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</si>
  <si>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</si>
  <si>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</si>
  <si>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</si>
  <si>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</si>
  <si>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</si>
  <si>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</si>
  <si>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</si>
  <si>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</si>
  <si>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</si>
  <si>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</si>
  <si>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</si>
  <si>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</si>
  <si>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</si>
  <si>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</si>
  <si>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</si>
  <si>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</si>
  <si>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</si>
  <si>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</si>
  <si>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</si>
  <si>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</si>
  <si>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</si>
  <si>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</si>
  <si>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</si>
  <si>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</si>
  <si>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</si>
  <si>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</si>
  <si>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</si>
  <si>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</si>
  <si>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</si>
  <si>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</si>
  <si>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</si>
  <si>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</si>
  <si>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</si>
  <si>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</si>
  <si>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</si>
  <si>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</si>
  <si>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</si>
  <si>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</si>
  <si>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</si>
  <si>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</si>
  <si>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</si>
  <si>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</si>
  <si>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</si>
  <si>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</si>
  <si>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</si>
  <si>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</si>
  <si>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</si>
  <si>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</si>
  <si>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</si>
  <si>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</si>
  <si>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</si>
  <si>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</si>
  <si>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</si>
  <si>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</si>
  <si>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</si>
  <si>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</si>
  <si>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</si>
  <si>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</si>
  <si>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</si>
  <si>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</si>
  <si>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</si>
  <si>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</si>
  <si>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</si>
  <si>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</si>
  <si>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</si>
  <si>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</si>
  <si>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</si>
  <si>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</si>
  <si>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</si>
  <si>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</si>
  <si>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</si>
  <si>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</si>
  <si>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</si>
  <si>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</si>
  <si>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</si>
  <si>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</si>
  <si>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</si>
  <si>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</si>
  <si>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</si>
  <si>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</si>
  <si>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</si>
  <si>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</si>
  <si>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</si>
  <si>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</si>
  <si>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</si>
  <si>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</si>
  <si>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</si>
  <si>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</si>
  <si>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</si>
  <si>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</si>
  <si>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</si>
  <si>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</si>
  <si>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</si>
  <si>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</si>
  <si>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</si>
  <si>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</si>
  <si>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</si>
  <si>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</si>
  <si>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</si>
  <si>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</si>
  <si>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</si>
  <si>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</si>
  <si>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</si>
  <si>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</si>
  <si>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</si>
  <si>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</si>
  <si>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</si>
  <si>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</si>
  <si>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</si>
  <si>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</si>
  <si>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</si>
  <si>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</si>
  <si>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</si>
  <si>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</si>
  <si>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</si>
  <si>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</si>
  <si>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</si>
  <si>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</si>
  <si>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</si>
  <si>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</si>
  <si>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</si>
  <si>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</si>
  <si>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</si>
  <si>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</si>
  <si>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</si>
  <si>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</si>
  <si>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</si>
  <si>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</si>
  <si>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</si>
  <si>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</si>
  <si>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</si>
  <si>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</si>
  <si>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</si>
  <si>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</si>
  <si>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</si>
  <si>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</si>
  <si>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</si>
  <si>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</si>
  <si>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</si>
  <si>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</si>
  <si>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</si>
  <si>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</si>
  <si>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</si>
  <si>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</si>
  <si>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</si>
  <si>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</si>
  <si>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</si>
  <si>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</si>
  <si>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</si>
  <si>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</si>
  <si>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</si>
  <si>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</si>
  <si>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</si>
  <si>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</si>
  <si>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</si>
  <si>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</si>
  <si>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</si>
  <si>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</si>
  <si>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</si>
  <si>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</si>
  <si>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</si>
  <si>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</si>
  <si>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</si>
  <si>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</si>
  <si>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</si>
  <si>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</si>
  <si>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</si>
  <si>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</si>
  <si>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</si>
  <si>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</si>
  <si>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</si>
  <si>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</si>
  <si>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</si>
  <si>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</si>
  <si>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</si>
  <si>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</si>
  <si>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</si>
  <si>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</si>
  <si>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</si>
  <si>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</si>
  <si>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</si>
  <si>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</si>
  <si>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</si>
  <si>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</si>
  <si>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</si>
  <si>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</si>
  <si>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</si>
  <si>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</si>
  <si>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</si>
  <si>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</si>
  <si>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</si>
  <si>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</si>
  <si>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</si>
  <si>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</si>
  <si>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</si>
  <si>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</si>
  <si>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</si>
  <si>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</si>
  <si>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</si>
  <si>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</si>
  <si>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</si>
  <si>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</si>
  <si>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</si>
  <si>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</si>
  <si>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</si>
  <si>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</si>
  <si>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</si>
  <si>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</si>
  <si>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</si>
  <si>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</si>
  <si>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</si>
  <si>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</si>
  <si>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</si>
  <si>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</si>
  <si>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</si>
  <si>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</si>
  <si>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</si>
  <si>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</si>
  <si>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</si>
  <si>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</si>
  <si>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</si>
  <si>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</si>
  <si>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</si>
  <si>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</si>
  <si>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</si>
  <si>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</si>
  <si>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</si>
  <si>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</si>
  <si>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</si>
  <si>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</si>
  <si>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</si>
  <si>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</si>
  <si>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</si>
  <si>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</si>
  <si>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</si>
  <si>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</si>
  <si>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</si>
  <si>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</si>
  <si>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</si>
  <si>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</si>
  <si>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</si>
  <si>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</si>
  <si>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</si>
  <si>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</si>
  <si>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</si>
  <si>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</si>
  <si>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</si>
  <si>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</si>
  <si>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</si>
  <si>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</si>
  <si>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</si>
  <si>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</si>
  <si>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</si>
  <si>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</si>
  <si>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</si>
  <si>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</si>
  <si>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</si>
  <si>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</si>
  <si>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</si>
  <si>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</si>
  <si>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</si>
  <si>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</si>
  <si>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</si>
  <si>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</si>
  <si>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</si>
  <si>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</si>
  <si>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</si>
  <si>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</si>
  <si>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</si>
  <si>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</si>
  <si>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</si>
  <si>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</si>
  <si>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</si>
  <si>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</si>
  <si>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</si>
  <si>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</si>
  <si>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</si>
  <si>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</si>
  <si>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</si>
  <si>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</si>
  <si>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</si>
  <si>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</si>
  <si>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</si>
  <si>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</si>
  <si>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</si>
  <si>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</si>
  <si>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</si>
  <si>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</si>
  <si>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</si>
  <si>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</si>
  <si>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</si>
  <si>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</si>
  <si>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</si>
  <si>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</si>
  <si>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</si>
  <si>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</si>
  <si>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</si>
  <si>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</si>
  <si>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</si>
  <si>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</si>
  <si>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</si>
  <si>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</si>
  <si>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</si>
  <si>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</si>
  <si>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</si>
  <si>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</si>
  <si>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</si>
  <si>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</si>
  <si>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</si>
  <si>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</si>
  <si>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</si>
  <si>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</si>
  <si>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</si>
  <si>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</si>
  <si>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</si>
  <si>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</si>
  <si>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</si>
  <si>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</si>
  <si>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</si>
  <si>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</si>
  <si>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</si>
  <si>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</si>
  <si>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</si>
  <si>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</si>
  <si>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</si>
  <si>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</si>
  <si>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</si>
  <si>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</si>
  <si>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</si>
  <si>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</si>
  <si>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</si>
  <si>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</si>
  <si>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</si>
  <si>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</si>
  <si>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</si>
  <si>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</si>
  <si>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</si>
  <si>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</si>
  <si>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</si>
  <si>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</si>
  <si>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</si>
  <si>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</si>
  <si>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</si>
  <si>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</si>
  <si>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</si>
  <si>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</si>
  <si>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</si>
  <si>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</si>
  <si>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</si>
  <si>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</si>
  <si>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</si>
  <si>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</si>
  <si>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</si>
  <si>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</si>
  <si>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</si>
  <si>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</si>
  <si>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</si>
  <si>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</si>
  <si>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</si>
  <si>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</si>
  <si>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</si>
  <si>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</si>
  <si>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</si>
  <si>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</si>
  <si>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</si>
  <si>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</si>
  <si>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</si>
  <si>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</si>
  <si>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</si>
  <si>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</si>
  <si>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</si>
  <si>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</si>
  <si>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</si>
  <si>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</si>
  <si>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</si>
  <si>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</si>
  <si>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</si>
  <si>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</si>
  <si>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</si>
  <si>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</si>
  <si>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</si>
  <si>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</si>
  <si>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</si>
  <si>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</si>
  <si>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</si>
  <si>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</si>
  <si>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</si>
  <si>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</si>
  <si>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</si>
  <si>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</si>
  <si>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</si>
  <si>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</si>
  <si>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</si>
  <si>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</si>
  <si>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</si>
  <si>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</si>
  <si>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</si>
  <si>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</si>
  <si>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</si>
  <si>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</si>
  <si>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</si>
  <si>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</si>
  <si>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</si>
  <si>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</si>
  <si>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</si>
  <si>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</si>
  <si>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</si>
  <si>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</si>
  <si>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</si>
  <si>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</si>
  <si>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</si>
  <si>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</si>
  <si>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</si>
  <si>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</si>
  <si>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</si>
  <si>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</si>
  <si>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</si>
  <si>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</si>
  <si>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</si>
  <si>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</si>
  <si>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</si>
  <si>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</si>
  <si>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</si>
  <si>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</si>
  <si>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</si>
  <si>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</si>
  <si>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</si>
  <si>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</si>
  <si>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</si>
  <si>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</si>
  <si>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</si>
  <si>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</si>
  <si>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</si>
  <si>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</si>
  <si>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</si>
  <si>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</si>
  <si>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</si>
  <si>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</si>
  <si>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</si>
  <si>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</si>
  <si>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</si>
  <si>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</si>
  <si>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</si>
  <si>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</si>
  <si>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</si>
  <si>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</si>
  <si>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</si>
  <si>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</si>
  <si>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</si>
  <si>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</si>
  <si>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</si>
  <si>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</si>
  <si>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</si>
  <si>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</si>
  <si>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</si>
  <si>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</si>
  <si>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</si>
  <si>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</si>
  <si>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</si>
  <si>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</si>
  <si>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</si>
  <si>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</si>
  <si>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</si>
  <si>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</si>
  <si>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</si>
  <si>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</si>
  <si>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</si>
  <si>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</si>
  <si>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</si>
  <si>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</si>
  <si>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</si>
  <si>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</si>
  <si>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</si>
  <si>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</si>
  <si>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</si>
  <si>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</si>
  <si>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</si>
  <si>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</si>
  <si>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</si>
  <si>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</si>
  <si>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</si>
  <si>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</si>
  <si>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</si>
  <si>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</si>
  <si>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</si>
  <si>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</si>
  <si>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</si>
  <si>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</si>
  <si>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</si>
  <si>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</si>
  <si>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</si>
  <si>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</si>
  <si>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</si>
  <si>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</si>
  <si>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</si>
  <si>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</si>
  <si>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</si>
  <si>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</si>
  <si>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</si>
  <si>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</si>
  <si>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</si>
  <si>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</si>
  <si>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</si>
  <si>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</si>
  <si>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</si>
  <si>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</si>
  <si>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</si>
  <si>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</si>
  <si>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</si>
  <si>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</si>
  <si>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</si>
  <si>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</si>
  <si>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</si>
  <si>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</si>
  <si>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</si>
  <si>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</si>
  <si>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</si>
  <si>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</si>
  <si>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</si>
  <si>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</si>
  <si>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</si>
  <si>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</si>
  <si>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</si>
  <si>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</si>
  <si>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</si>
  <si>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</si>
  <si>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</si>
  <si>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</si>
  <si>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</si>
  <si>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</si>
  <si>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</si>
  <si>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</si>
  <si>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</si>
  <si>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</si>
  <si>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</si>
  <si>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</si>
  <si>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</si>
  <si>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</si>
  <si>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</si>
  <si>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</si>
  <si>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</si>
  <si>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</si>
  <si>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</si>
  <si>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</si>
  <si>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</si>
  <si>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</si>
  <si>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</si>
  <si>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</si>
  <si>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</si>
  <si>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</si>
  <si>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</si>
  <si>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</si>
  <si>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</si>
  <si>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</si>
  <si>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</si>
  <si>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</si>
  <si>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</si>
  <si>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</si>
  <si>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</si>
  <si>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</si>
  <si>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</si>
  <si>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</si>
  <si>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</si>
  <si>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</si>
  <si>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</si>
  <si>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</si>
  <si>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</si>
  <si>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</si>
  <si>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</si>
  <si>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</si>
  <si>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</si>
  <si>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</si>
  <si>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</si>
  <si>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</si>
  <si>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</si>
  <si>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</si>
  <si>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</si>
  <si>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</si>
  <si>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</si>
  <si>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</si>
  <si>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</si>
  <si>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</si>
  <si>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</si>
  <si>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</si>
  <si>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</si>
  <si>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</si>
  <si>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</si>
  <si>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</si>
  <si>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</si>
  <si>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</si>
  <si>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</si>
  <si>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</si>
  <si>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</si>
  <si>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</si>
  <si>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</si>
  <si>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</si>
  <si>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</si>
  <si>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</si>
  <si>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</si>
  <si>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</si>
  <si>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</si>
  <si>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</si>
  <si>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</si>
  <si>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</si>
  <si>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</si>
  <si>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</si>
  <si>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</si>
  <si>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</si>
  <si>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</si>
  <si>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</si>
  <si>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</si>
  <si>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</si>
  <si>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</si>
  <si>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</si>
  <si>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</si>
  <si>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</si>
  <si>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</si>
  <si>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</si>
  <si>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</si>
  <si>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</si>
  <si>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</si>
  <si>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</si>
  <si>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</si>
  <si>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</si>
  <si>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</si>
  <si>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</si>
  <si>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</si>
  <si>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</si>
  <si>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</si>
  <si>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</si>
  <si>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</si>
  <si>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</si>
  <si>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</si>
  <si>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</si>
  <si>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</si>
  <si>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</si>
  <si>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</si>
  <si>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</si>
  <si>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</si>
  <si>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</si>
  <si>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</si>
  <si>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</si>
  <si>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</si>
  <si>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</si>
  <si>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</si>
  <si>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</si>
  <si>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</si>
  <si>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</si>
  <si>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</si>
  <si>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</si>
  <si>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</si>
  <si>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</si>
  <si>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</si>
  <si>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</si>
  <si>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</si>
  <si>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</si>
  <si>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</si>
  <si>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</si>
  <si>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</si>
  <si>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</si>
  <si>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</si>
  <si>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</si>
  <si>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</si>
  <si>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</si>
  <si>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</si>
  <si>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</si>
  <si>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</si>
  <si>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</si>
  <si>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</si>
  <si>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</si>
  <si>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</si>
  <si>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</si>
  <si>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</si>
  <si>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</si>
  <si>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</si>
  <si>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</si>
  <si>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</si>
  <si>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</si>
  <si>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</si>
  <si>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</si>
  <si>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</si>
  <si>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</si>
  <si>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</si>
  <si>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</si>
  <si>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</si>
  <si>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</si>
  <si>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</si>
  <si>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</si>
  <si>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</si>
  <si>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</si>
  <si>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</si>
  <si>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</si>
  <si>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</si>
  <si>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</si>
  <si>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</si>
  <si>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</si>
  <si>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</si>
  <si>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</si>
  <si>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</si>
  <si>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</si>
  <si>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</si>
  <si>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</si>
  <si>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</si>
  <si>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</si>
  <si>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</si>
  <si>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</si>
  <si>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</si>
  <si>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</si>
  <si>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</si>
  <si>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</si>
  <si>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</si>
  <si>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</si>
  <si>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</si>
  <si>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</si>
  <si>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</si>
  <si>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</si>
  <si>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</si>
  <si>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</si>
  <si>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</si>
  <si>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</si>
  <si>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</si>
  <si>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</si>
  <si>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</si>
  <si>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</si>
  <si>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</si>
  <si>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</si>
  <si>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</si>
  <si>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</si>
  <si>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</si>
  <si>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</si>
  <si>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</si>
  <si>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</si>
  <si>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</si>
  <si>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</si>
  <si>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</si>
  <si>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</si>
  <si>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</si>
  <si>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</si>
  <si>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</si>
  <si>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</si>
  <si>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</si>
  <si>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</si>
  <si>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</si>
  <si>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</si>
  <si>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</si>
  <si>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</si>
  <si>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</si>
  <si>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</si>
  <si>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</si>
  <si>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</si>
  <si>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</si>
  <si>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</si>
  <si>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</si>
  <si>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</si>
  <si>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</si>
  <si>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</si>
  <si>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</si>
  <si>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</si>
  <si>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</si>
  <si>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</si>
  <si>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</si>
  <si>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</si>
  <si>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</si>
  <si>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</si>
  <si>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</si>
  <si>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</si>
  <si>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</si>
  <si>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</si>
  <si>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</si>
  <si>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</si>
  <si>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</si>
  <si>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</si>
  <si>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</si>
  <si>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</si>
  <si>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</si>
  <si>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</si>
  <si>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</si>
  <si>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</si>
  <si>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</si>
  <si>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</si>
  <si>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</si>
  <si>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</si>
  <si>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</si>
  <si>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</si>
  <si>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</si>
  <si>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</si>
  <si>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</si>
  <si>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</si>
  <si>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</si>
  <si>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</si>
  <si>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</si>
  <si>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</si>
  <si>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</si>
  <si>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</si>
  <si>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</si>
  <si>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</si>
  <si>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</si>
  <si>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</si>
  <si>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</si>
  <si>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</si>
  <si>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</si>
  <si>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</si>
  <si>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</si>
  <si>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</si>
  <si>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</si>
  <si>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</si>
  <si>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</si>
  <si>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</si>
  <si>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</si>
  <si>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</si>
  <si>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</si>
  <si>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</si>
  <si>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</si>
  <si>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</si>
  <si>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</si>
  <si>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</si>
  <si>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</si>
  <si>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</si>
  <si>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</si>
  <si>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</si>
  <si>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</si>
  <si>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</si>
  <si>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</si>
  <si>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</si>
  <si>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</si>
  <si>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</si>
  <si>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</si>
  <si>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</si>
  <si>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</si>
  <si>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</si>
  <si>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</si>
  <si>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</si>
  <si>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</si>
  <si>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</si>
  <si>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</si>
  <si>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</si>
  <si>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</si>
  <si>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</si>
  <si>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</si>
  <si>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</si>
  <si>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</si>
  <si>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</si>
  <si>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</si>
  <si>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</si>
  <si>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</si>
  <si>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</si>
  <si>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</si>
  <si>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</si>
  <si>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</si>
  <si>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</si>
  <si>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</si>
  <si>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</si>
  <si>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</si>
  <si>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</si>
  <si>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</si>
  <si>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</si>
  <si>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</si>
  <si>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</si>
  <si>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</si>
  <si>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</si>
  <si>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</si>
  <si>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</si>
  <si>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</si>
  <si>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</si>
  <si>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</si>
  <si>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</si>
  <si>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</si>
  <si>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</si>
  <si>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</si>
  <si>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</si>
  <si>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</si>
  <si>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</si>
  <si>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</si>
  <si>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</si>
  <si>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</si>
  <si>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</si>
  <si>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</si>
  <si>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</si>
  <si>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</si>
  <si>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</si>
  <si>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</si>
  <si>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</si>
  <si>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</si>
  <si>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</si>
  <si>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</si>
  <si>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</si>
  <si>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</si>
  <si>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</si>
  <si>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</si>
  <si>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</si>
  <si>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</si>
  <si>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</si>
  <si>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</si>
  <si>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</si>
  <si>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</si>
  <si>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</si>
  <si>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</si>
  <si>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</si>
  <si>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</si>
  <si>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</si>
  <si>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</si>
  <si>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</si>
  <si>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</si>
  <si>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</si>
  <si>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</si>
  <si>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</si>
  <si>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</si>
  <si>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</si>
  <si>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</si>
  <si>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</si>
  <si>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</si>
  <si>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</si>
  <si>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</si>
  <si>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</si>
  <si>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</si>
  <si>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</si>
  <si>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</si>
  <si>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</si>
  <si>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</si>
  <si>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</si>
  <si>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</si>
  <si>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</si>
  <si>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</si>
  <si>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</si>
  <si>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</si>
  <si>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</si>
  <si>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</si>
  <si>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</si>
  <si>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</si>
  <si>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</si>
  <si>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</si>
  <si>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</si>
  <si>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</si>
  <si>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</si>
  <si>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</si>
  <si>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</si>
  <si>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</si>
  <si>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</si>
  <si>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</si>
  <si>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</si>
  <si>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</si>
  <si>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</si>
  <si>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</si>
  <si>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</si>
  <si>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</si>
  <si>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</si>
  <si>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</si>
  <si>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</si>
  <si>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</si>
  <si>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</si>
  <si>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</si>
  <si>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</si>
  <si>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</si>
  <si>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</si>
  <si>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</si>
  <si>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</si>
  <si>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</si>
  <si>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</si>
  <si>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</si>
  <si>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</si>
  <si>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</si>
  <si>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</si>
  <si>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</si>
  <si>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</si>
  <si>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</si>
  <si>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</si>
  <si>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</si>
  <si>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</si>
  <si>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</si>
  <si>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</si>
  <si>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</si>
  <si>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</si>
  <si>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</si>
  <si>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</si>
  <si>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</si>
  <si>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</si>
  <si>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</si>
  <si>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</si>
  <si>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</si>
  <si>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</si>
  <si>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</si>
  <si>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</si>
  <si>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</si>
  <si>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</si>
  <si>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</si>
  <si>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</si>
  <si>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</si>
  <si>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</si>
  <si>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</si>
  <si>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</si>
  <si>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</si>
  <si>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</si>
  <si>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</si>
  <si>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</si>
  <si>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</si>
  <si>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</si>
  <si>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</si>
  <si>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</si>
  <si>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</si>
  <si>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</si>
  <si>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</si>
  <si>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</si>
  <si>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</si>
  <si>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</si>
  <si>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</si>
  <si>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</si>
  <si>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</si>
  <si>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</si>
  <si>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</si>
  <si>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</si>
  <si>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</si>
  <si>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</si>
  <si>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</si>
  <si>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</si>
  <si>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</si>
  <si>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</si>
  <si>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</si>
  <si>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</si>
  <si>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</si>
  <si>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</si>
  <si>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</si>
  <si>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</si>
  <si>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</si>
  <si>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</si>
  <si>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</si>
  <si>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</si>
  <si>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</si>
  <si>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</si>
  <si>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</si>
  <si>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</si>
  <si>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</si>
  <si>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</si>
  <si>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</si>
  <si>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</si>
  <si>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</si>
  <si>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</si>
  <si>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</si>
  <si>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</si>
  <si>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</si>
  <si>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</si>
  <si>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</si>
  <si>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</si>
  <si>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</si>
  <si>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</si>
  <si>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</si>
  <si>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</si>
  <si>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</si>
  <si>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</si>
  <si>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</si>
  <si>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</si>
  <si>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</si>
  <si>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</si>
  <si>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</si>
  <si>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</si>
  <si>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</si>
  <si>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</si>
  <si>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</si>
  <si>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</si>
  <si>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</si>
  <si>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</si>
  <si>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</si>
  <si>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</si>
  <si>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</si>
  <si>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</si>
  <si>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</si>
  <si>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</si>
  <si>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</si>
  <si>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</si>
  <si>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</si>
  <si>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</si>
  <si>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</si>
  <si>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</si>
  <si>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</si>
  <si>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</si>
  <si>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</si>
  <si>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</si>
  <si>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</si>
  <si>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</si>
  <si>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</si>
  <si>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</si>
  <si>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</si>
  <si>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</si>
  <si>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</si>
  <si>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</si>
  <si>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</si>
  <si>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</si>
  <si>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</si>
  <si>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</si>
  <si>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</si>
  <si>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</si>
  <si>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</si>
  <si>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</si>
  <si>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</si>
  <si>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</si>
  <si>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</si>
  <si>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</si>
  <si>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</si>
  <si>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</si>
  <si>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</si>
  <si>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</si>
  <si>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</si>
  <si>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</si>
  <si>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</si>
  <si>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</si>
  <si>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</si>
  <si>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</si>
  <si>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</si>
  <si>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</si>
  <si>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</si>
  <si>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</si>
  <si>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</si>
  <si>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</si>
  <si>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</si>
  <si>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</si>
  <si>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</si>
  <si>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</si>
  <si>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</si>
  <si>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</si>
  <si>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</si>
  <si>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</si>
  <si>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</si>
  <si>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</si>
  <si>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</si>
  <si>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</si>
  <si>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</si>
  <si>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</si>
  <si>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</si>
  <si>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</si>
  <si>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</si>
  <si>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</si>
  <si>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</si>
  <si>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</si>
  <si>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</si>
  <si>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</si>
  <si>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</si>
  <si>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</si>
  <si>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</si>
  <si>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</si>
  <si>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</si>
  <si>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</si>
  <si>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</si>
  <si>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</si>
  <si>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</si>
  <si>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</si>
  <si>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</si>
  <si>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</si>
  <si>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</si>
  <si>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</si>
  <si>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</si>
  <si>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</si>
  <si>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</si>
  <si>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</si>
  <si>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</si>
  <si>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</si>
  <si>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</si>
  <si>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</si>
  <si>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</si>
  <si>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</si>
  <si>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</si>
  <si>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</si>
  <si>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</si>
  <si>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</si>
  <si>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</si>
  <si>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</si>
  <si>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</si>
  <si>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</si>
  <si>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</si>
  <si>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</si>
  <si>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</si>
  <si>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</si>
  <si>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</si>
  <si>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</si>
  <si>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</si>
  <si>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</si>
  <si>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</si>
  <si>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</si>
  <si>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</si>
  <si>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</si>
  <si>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</si>
  <si>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</si>
  <si>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</si>
  <si>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</si>
  <si>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</si>
  <si>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</si>
  <si>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</si>
  <si>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</si>
  <si>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</si>
  <si>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</si>
  <si>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</si>
  <si>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</si>
  <si>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</si>
  <si>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</si>
  <si>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</si>
  <si>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</si>
  <si>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</si>
  <si>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</si>
  <si>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</si>
  <si>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</si>
  <si>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</si>
  <si>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</si>
  <si>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</si>
  <si>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</si>
  <si>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</si>
  <si>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</si>
  <si>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</si>
  <si>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</si>
  <si>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</si>
  <si>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</si>
  <si>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</si>
  <si>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</si>
  <si>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</si>
  <si>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</si>
  <si>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</si>
  <si>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</si>
  <si>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</si>
  <si>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</si>
  <si>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</si>
  <si>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</si>
  <si>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</si>
  <si>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</si>
  <si>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</si>
  <si>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</si>
  <si>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</si>
  <si>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</si>
  <si>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</si>
  <si>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</si>
  <si>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</si>
  <si>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</si>
  <si>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</si>
  <si>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</si>
  <si>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</si>
  <si>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</si>
  <si>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</si>
  <si>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</si>
  <si>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</si>
  <si>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</si>
  <si>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</si>
  <si>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</si>
  <si>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</si>
  <si>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</si>
  <si>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</si>
  <si>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</si>
  <si>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</si>
  <si>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</si>
  <si>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</si>
  <si>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</si>
  <si>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</si>
  <si>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</si>
  <si>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</si>
  <si>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</si>
  <si>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</si>
  <si>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</si>
  <si>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</si>
  <si>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</si>
  <si>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</si>
  <si>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</si>
  <si>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</si>
  <si>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</si>
  <si>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</si>
  <si>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</si>
  <si>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</si>
  <si>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</si>
  <si>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</si>
  <si>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</si>
  <si>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</si>
  <si>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</si>
  <si>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</si>
  <si>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</si>
  <si>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</si>
  <si>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</si>
  <si>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</si>
  <si>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</si>
  <si>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</si>
  <si>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</si>
  <si>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</si>
  <si>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</si>
  <si>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</si>
  <si>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</si>
  <si>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</si>
  <si>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</si>
  <si>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</si>
  <si>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</si>
  <si>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</si>
  <si>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</si>
  <si>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</si>
  <si>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</si>
  <si>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</si>
  <si>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</si>
  <si>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</si>
  <si>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</si>
  <si>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</si>
  <si>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</si>
  <si>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</si>
  <si>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</si>
  <si>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</si>
  <si>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</si>
  <si>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</si>
  <si>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</si>
  <si>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</si>
  <si>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</si>
  <si>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</si>
  <si>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</si>
  <si>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</si>
  <si>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</si>
  <si>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</si>
  <si>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</si>
  <si>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</si>
  <si>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</si>
  <si>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</si>
  <si>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</si>
  <si>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</si>
  <si>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</si>
  <si>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</si>
  <si>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</si>
  <si>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</si>
  <si>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</si>
  <si>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</si>
  <si>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</si>
  <si>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</si>
  <si>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</si>
  <si>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</si>
  <si>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</si>
  <si>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</si>
  <si>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</si>
  <si>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</si>
  <si>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</si>
  <si>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</si>
  <si>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</si>
  <si>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</si>
  <si>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</si>
  <si>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</si>
  <si>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</si>
  <si>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</si>
  <si>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</si>
  <si>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</si>
  <si>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</si>
  <si>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</si>
  <si>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</si>
  <si>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</si>
  <si>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</si>
  <si>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</si>
  <si>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</si>
  <si>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</si>
  <si>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</si>
  <si>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</si>
  <si>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</si>
  <si>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</si>
  <si>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</si>
  <si>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</si>
  <si>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</si>
  <si>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</si>
  <si>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</si>
  <si>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</si>
  <si>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</si>
  <si>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</si>
  <si>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</si>
  <si>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</si>
  <si>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</si>
  <si>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</si>
  <si>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</si>
  <si>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</si>
  <si>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</si>
  <si>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</si>
  <si>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</si>
  <si>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</si>
  <si>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</si>
  <si>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</si>
  <si>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</si>
  <si>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</si>
  <si>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</si>
  <si>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</si>
  <si>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</si>
  <si>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</si>
  <si>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</si>
  <si>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</si>
  <si>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</si>
  <si>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</si>
  <si>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</si>
  <si>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</si>
  <si>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</si>
  <si>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</si>
  <si>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</si>
  <si>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</si>
  <si>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</si>
  <si>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</si>
  <si>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</si>
  <si>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</si>
  <si>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</si>
  <si>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</si>
  <si>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</si>
  <si>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</si>
  <si>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</si>
  <si>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</si>
  <si>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</si>
  <si>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</si>
  <si>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</si>
  <si>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</si>
  <si>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</si>
  <si>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</si>
  <si>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</si>
  <si>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</si>
  <si>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</si>
  <si>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</si>
  <si>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</si>
  <si>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</si>
  <si>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</si>
  <si>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</si>
  <si>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</si>
  <si>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</si>
  <si>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</si>
  <si>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</si>
  <si>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</si>
  <si>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</si>
  <si>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</si>
  <si>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</si>
  <si>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</si>
  <si>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</si>
  <si>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</si>
  <si>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</si>
  <si>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</si>
  <si>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</si>
  <si>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</si>
  <si>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</si>
  <si>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</si>
  <si>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</si>
  <si>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</si>
  <si>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</si>
  <si>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</si>
  <si>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</si>
  <si>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</si>
  <si>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</si>
  <si>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</si>
  <si>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</si>
  <si>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</si>
  <si>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</si>
  <si>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</si>
  <si>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</si>
  <si>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</si>
  <si>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</si>
  <si>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</si>
  <si>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</si>
  <si>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</si>
  <si>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</si>
  <si>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</si>
  <si>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</si>
  <si>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</si>
  <si>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</si>
  <si>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</si>
  <si>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</si>
  <si>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</si>
  <si>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</si>
  <si>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</si>
  <si>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</si>
  <si>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</si>
  <si>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</si>
  <si>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</si>
  <si>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</si>
  <si>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</si>
  <si>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</si>
  <si>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</si>
  <si>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</si>
  <si>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</si>
  <si>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</si>
  <si>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</si>
  <si>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</si>
  <si>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</si>
  <si>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</si>
  <si>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</si>
  <si>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</si>
  <si>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</si>
  <si>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</si>
  <si>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</si>
  <si>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</si>
  <si>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</si>
  <si>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</si>
  <si>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</si>
  <si>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</si>
  <si>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</si>
  <si>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</si>
  <si>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</si>
  <si>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</si>
  <si>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</si>
  <si>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</si>
  <si>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</si>
  <si>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</si>
  <si>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</si>
  <si>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</si>
  <si>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</si>
  <si>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</si>
  <si>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</si>
  <si>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</si>
  <si>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</si>
  <si>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</si>
  <si>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</si>
  <si>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</si>
  <si>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</si>
  <si>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</si>
  <si>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</si>
  <si>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</si>
  <si>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</si>
  <si>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</si>
  <si>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</si>
  <si>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</si>
  <si>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</si>
  <si>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</si>
  <si>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</si>
  <si>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</si>
  <si>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</si>
  <si>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</si>
  <si>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</si>
  <si>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</si>
  <si>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</si>
  <si>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</si>
  <si>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</si>
  <si>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</si>
  <si>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</si>
  <si>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</si>
  <si>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</si>
  <si>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</si>
  <si>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</si>
  <si>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</si>
  <si>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</si>
  <si>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</si>
  <si>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</si>
  <si>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</si>
  <si>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</si>
  <si>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</si>
  <si>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</si>
  <si>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</si>
  <si>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</si>
  <si>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</si>
  <si>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</si>
  <si>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</si>
  <si>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</si>
  <si>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</si>
  <si>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</si>
  <si>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</si>
  <si>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</si>
  <si>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</si>
  <si>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</si>
  <si>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</si>
  <si>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</si>
  <si>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</si>
  <si>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</si>
  <si>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</si>
  <si>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</si>
  <si>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</si>
  <si>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</si>
  <si>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</si>
  <si>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</si>
  <si>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</si>
  <si>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</si>
  <si>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</si>
  <si>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</si>
  <si>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</si>
  <si>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</si>
  <si>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</si>
  <si>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</si>
  <si>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</si>
  <si>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</si>
  <si>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</si>
  <si>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</si>
  <si>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</si>
  <si>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</si>
  <si>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</si>
  <si>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</si>
  <si>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</si>
  <si>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</si>
  <si>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</si>
  <si>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</si>
  <si>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</si>
  <si>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</si>
  <si>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</si>
  <si>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</si>
  <si>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</si>
  <si>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</si>
  <si>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</si>
  <si>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</si>
  <si>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</si>
  <si>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</si>
  <si>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</si>
  <si>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</si>
  <si>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</si>
  <si>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</si>
  <si>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</si>
  <si>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</si>
  <si>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</si>
  <si>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</si>
  <si>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</si>
  <si>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</si>
  <si>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</si>
  <si>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</si>
  <si>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</si>
  <si>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</si>
  <si>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</si>
  <si>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</si>
  <si>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</si>
  <si>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</si>
  <si>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</si>
  <si>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</si>
  <si>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</si>
  <si>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</si>
  <si>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</si>
  <si>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</si>
  <si>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</si>
  <si>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</si>
  <si>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</si>
  <si>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</si>
  <si>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</si>
  <si>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</si>
  <si>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</si>
  <si>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</si>
  <si>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</si>
  <si>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</si>
  <si>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</si>
  <si>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</si>
  <si>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</si>
  <si>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</si>
  <si>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</si>
  <si>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</si>
  <si>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</si>
  <si>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</si>
  <si>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</si>
  <si>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</si>
  <si>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</si>
  <si>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</si>
  <si>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</si>
  <si>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</si>
  <si>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</si>
  <si>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</si>
  <si>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</si>
  <si>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</si>
  <si>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</si>
  <si>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</si>
  <si>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</si>
  <si>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</si>
  <si>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</si>
  <si>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</si>
  <si>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</si>
  <si>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</si>
  <si>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</si>
  <si>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</si>
  <si>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</si>
  <si>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</si>
  <si>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</si>
  <si>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</si>
  <si>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</si>
  <si>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</si>
  <si>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</si>
  <si>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</si>
  <si>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</si>
  <si>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</si>
  <si>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</si>
  <si>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</si>
  <si>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</si>
  <si>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</si>
  <si>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</si>
  <si>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</si>
  <si>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</si>
  <si>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</si>
  <si>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</si>
  <si>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</si>
  <si>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</si>
  <si>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</si>
  <si>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</si>
  <si>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</si>
  <si>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</si>
  <si>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</si>
  <si>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</si>
  <si>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</si>
  <si>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</si>
  <si>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</si>
  <si>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</si>
  <si>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</si>
  <si>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</si>
  <si>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</si>
  <si>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</si>
  <si>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</si>
  <si>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</si>
  <si>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</si>
  <si>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</si>
  <si>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</si>
  <si>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</si>
  <si>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</si>
  <si>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</si>
  <si>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</si>
  <si>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</si>
  <si>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</si>
  <si>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</si>
  <si>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</si>
  <si>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</si>
  <si>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</si>
  <si>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</si>
  <si>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</si>
  <si>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</si>
  <si>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</si>
  <si>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</si>
  <si>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</si>
  <si>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</si>
  <si>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</si>
  <si>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</si>
  <si>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</si>
  <si>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</si>
  <si>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</si>
  <si>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</si>
  <si>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</si>
  <si>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</si>
  <si>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</si>
  <si>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</si>
  <si>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</si>
  <si>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</si>
  <si>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</si>
  <si>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</si>
  <si>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</si>
  <si>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</si>
  <si>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</si>
  <si>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</si>
  <si>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</si>
  <si>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</si>
  <si>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</si>
  <si>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</si>
  <si>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</si>
  <si>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</si>
  <si>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</si>
  <si>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</si>
  <si>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</si>
  <si>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</si>
  <si>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</si>
  <si>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</si>
  <si>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</si>
  <si>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</si>
  <si>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</si>
  <si>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</si>
  <si>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</si>
  <si>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</si>
  <si>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</si>
  <si>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</si>
  <si>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</si>
  <si>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</si>
  <si>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</si>
  <si>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</si>
  <si>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</si>
  <si>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</si>
  <si>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</si>
  <si>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</si>
  <si>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</si>
  <si>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</si>
  <si>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</si>
  <si>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</si>
  <si>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</si>
  <si>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</si>
  <si>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</si>
  <si>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</si>
  <si>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</si>
  <si>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</si>
  <si>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</si>
  <si>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</si>
  <si>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</si>
  <si>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</si>
  <si>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</si>
  <si>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</si>
  <si>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</si>
  <si>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</si>
  <si>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</si>
  <si>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</si>
  <si>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</si>
  <si>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</si>
  <si>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</si>
  <si>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</si>
  <si>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</si>
  <si>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</si>
  <si>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</si>
  <si>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</si>
  <si>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</si>
  <si>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</si>
  <si>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</si>
  <si>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</si>
  <si>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</si>
  <si>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</si>
  <si>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</si>
  <si>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</si>
  <si>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</si>
  <si>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</si>
  <si>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</si>
  <si>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</si>
  <si>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</si>
  <si>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</si>
  <si>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</si>
  <si>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</si>
  <si>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</si>
  <si>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</si>
  <si>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</si>
  <si>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</si>
  <si>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</si>
  <si>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</si>
  <si>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</si>
  <si>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</si>
  <si>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</si>
  <si>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</si>
  <si>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</si>
  <si>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</si>
  <si>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</si>
  <si>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</si>
  <si>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</si>
  <si>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</si>
  <si>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</si>
  <si>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</si>
  <si>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</si>
  <si>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</si>
  <si>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</si>
  <si>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</si>
  <si>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</si>
  <si>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</si>
  <si>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</si>
  <si>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</si>
  <si>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</si>
  <si>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</si>
  <si>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</si>
  <si>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</si>
  <si>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</si>
  <si>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</si>
  <si>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</si>
  <si>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</si>
  <si>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</si>
  <si>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</si>
  <si>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</si>
  <si>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</si>
  <si>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</si>
  <si>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</si>
  <si>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</si>
  <si>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</si>
  <si>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</si>
  <si>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</si>
  <si>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</si>
  <si>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</si>
  <si>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</si>
  <si>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</si>
  <si>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</si>
  <si>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</si>
  <si>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</si>
  <si>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</si>
  <si>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</si>
  <si>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</si>
  <si>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</si>
  <si>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</si>
  <si>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</si>
  <si>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</si>
  <si>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</si>
  <si>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</si>
  <si>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</si>
  <si>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</si>
  <si>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</si>
  <si>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</si>
  <si>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</si>
  <si>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</si>
  <si>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</si>
  <si>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</si>
  <si>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</si>
  <si>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</si>
  <si>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</si>
  <si>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</si>
  <si>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</si>
  <si>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</si>
  <si>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</si>
  <si>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</si>
  <si>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</si>
  <si>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</si>
  <si>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</si>
  <si>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</si>
  <si>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</si>
  <si>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</si>
  <si>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</si>
  <si>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</si>
  <si>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</si>
  <si>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</si>
  <si>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</si>
  <si>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</si>
  <si>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</si>
  <si>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</si>
  <si>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</si>
  <si>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</si>
  <si>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</si>
  <si>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</si>
  <si>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</si>
  <si>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</si>
  <si>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</si>
  <si>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</si>
  <si>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</si>
  <si>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</si>
  <si>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</si>
  <si>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</si>
  <si>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</si>
  <si>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</si>
  <si>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</si>
  <si>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</si>
  <si>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</si>
  <si>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</si>
  <si>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</si>
  <si>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</si>
  <si>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</si>
  <si>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</si>
  <si>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</si>
  <si>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</si>
  <si>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</si>
  <si>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</si>
  <si>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</si>
  <si>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</si>
  <si>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</si>
  <si>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</si>
  <si>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</si>
  <si>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</si>
  <si>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</si>
  <si>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</si>
  <si>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</si>
  <si>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</si>
  <si>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</si>
  <si>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</si>
  <si>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</si>
  <si>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</si>
  <si>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</si>
  <si>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</si>
  <si>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</si>
  <si>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</si>
  <si>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</si>
  <si>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</si>
  <si>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</si>
  <si>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</si>
  <si>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</si>
  <si>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</si>
  <si>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</si>
  <si>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</si>
  <si>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</si>
  <si>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</si>
  <si>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</si>
  <si>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</si>
  <si>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</si>
  <si>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</si>
  <si>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</si>
  <si>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</si>
  <si>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</si>
  <si>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</si>
  <si>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</si>
  <si>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</si>
  <si>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</si>
  <si>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</si>
  <si>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</si>
  <si>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</si>
  <si>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</si>
  <si>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</si>
  <si>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</si>
  <si>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</si>
  <si>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</si>
  <si>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</si>
  <si>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</si>
  <si>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</si>
  <si>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</si>
  <si>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</si>
  <si>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</si>
  <si>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</si>
  <si>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</si>
  <si>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</si>
  <si>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</si>
  <si>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</si>
  <si>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</si>
  <si>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</si>
  <si>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</si>
  <si>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</si>
  <si>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</si>
  <si>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</si>
  <si>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</si>
  <si>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</si>
  <si>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</si>
  <si>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</si>
  <si>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</si>
  <si>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</si>
  <si>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</si>
  <si>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</si>
  <si>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</si>
  <si>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</si>
  <si>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</si>
  <si>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</si>
  <si>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</si>
  <si>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</si>
  <si>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</si>
  <si>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</si>
  <si>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</si>
  <si>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</si>
  <si>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</si>
  <si>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</si>
  <si>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</si>
  <si>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</si>
  <si>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</si>
  <si>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</si>
  <si>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</si>
  <si>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</si>
  <si>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</si>
  <si>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</si>
  <si>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</si>
  <si>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</si>
  <si>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</si>
  <si>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</si>
  <si>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</si>
  <si>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</si>
  <si>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</si>
  <si>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</si>
  <si>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</si>
  <si>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</si>
  <si>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</si>
  <si>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</si>
  <si>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</si>
  <si>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</si>
  <si>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</si>
  <si>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</si>
  <si>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</si>
  <si>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</si>
  <si>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</si>
  <si>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</si>
  <si>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</si>
  <si>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</si>
  <si>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</si>
  <si>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</si>
  <si>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</si>
  <si>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</si>
  <si>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</si>
  <si>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</si>
  <si>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</si>
  <si>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</si>
  <si>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</si>
  <si>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</si>
  <si>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</si>
  <si>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</si>
  <si>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</si>
  <si>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</si>
  <si>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</si>
  <si>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</si>
  <si>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</si>
  <si>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</si>
  <si>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</si>
  <si>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</si>
  <si>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</si>
  <si>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</si>
  <si>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</si>
  <si>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</si>
  <si>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</si>
  <si>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</si>
  <si>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</si>
  <si>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</si>
  <si>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</si>
  <si>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</si>
  <si>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</si>
  <si>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</si>
  <si>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</si>
  <si>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</si>
  <si>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</si>
  <si>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</si>
  <si>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</si>
  <si>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</si>
  <si>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</si>
  <si>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</si>
  <si>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</si>
  <si>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</si>
  <si>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</si>
  <si>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</si>
  <si>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</si>
  <si>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</si>
  <si>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</si>
  <si>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</si>
  <si>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</si>
  <si>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</si>
  <si>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</si>
  <si>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</si>
  <si>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</si>
  <si>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</si>
  <si>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</si>
  <si>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</si>
  <si>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</si>
  <si>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</si>
  <si>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</si>
  <si>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</si>
  <si>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</si>
  <si>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</si>
  <si>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</si>
  <si>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</si>
  <si>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</si>
  <si>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</si>
  <si>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</si>
  <si>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</si>
  <si>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</si>
  <si>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</si>
  <si>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</si>
  <si>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</si>
  <si>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</si>
  <si>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</si>
  <si>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</si>
  <si>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</si>
  <si>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</si>
  <si>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</si>
  <si>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</si>
  <si>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</si>
  <si>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</si>
  <si>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</si>
  <si>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</si>
  <si>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</si>
  <si>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</si>
  <si>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</si>
  <si>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</si>
  <si>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</si>
  <si>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</si>
  <si>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</si>
  <si>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</si>
  <si>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</si>
  <si>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</si>
  <si>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</si>
  <si>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</si>
  <si>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</si>
  <si>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</si>
  <si>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</si>
  <si>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</si>
  <si>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</si>
  <si>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</si>
  <si>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</si>
  <si>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</si>
  <si>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</si>
  <si>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</si>
  <si>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</si>
  <si>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</si>
  <si>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</si>
  <si>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</si>
  <si>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</si>
  <si>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</si>
  <si>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</si>
  <si>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</si>
  <si>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</si>
  <si>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</si>
  <si>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</si>
  <si>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</si>
  <si>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</si>
  <si>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</si>
  <si>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</si>
  <si>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</si>
  <si>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</si>
  <si>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</si>
  <si>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</si>
  <si>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</si>
  <si>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</si>
  <si>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</si>
  <si>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</si>
  <si>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</si>
  <si>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</si>
  <si>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</si>
  <si>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</si>
  <si>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</si>
  <si>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</si>
  <si>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</si>
  <si>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</si>
  <si>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</si>
  <si>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</si>
  <si>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</si>
  <si>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</si>
  <si>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</si>
  <si>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</si>
  <si>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</si>
  <si>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</si>
  <si>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</si>
  <si>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</si>
  <si>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</si>
  <si>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</si>
  <si>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</si>
  <si>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</si>
  <si>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</si>
  <si>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</si>
  <si>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</si>
  <si>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</si>
  <si>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</si>
  <si>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</si>
  <si>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</si>
  <si>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</si>
  <si>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</si>
  <si>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</si>
  <si>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</si>
  <si>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</si>
  <si>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</si>
  <si>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</si>
  <si>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</si>
  <si>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</si>
  <si>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</si>
  <si>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</si>
  <si>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</si>
  <si>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</si>
  <si>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</si>
  <si>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</si>
  <si>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</si>
  <si>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</si>
  <si>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</si>
  <si>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</si>
  <si>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</si>
  <si>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</si>
  <si>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</si>
  <si>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</si>
  <si>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</si>
  <si>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</si>
  <si>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</si>
  <si>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</si>
  <si>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</si>
  <si>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</si>
  <si>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</si>
  <si>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</si>
  <si>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</si>
  <si>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</si>
  <si>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</si>
  <si>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</si>
  <si>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</si>
  <si>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</si>
  <si>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</si>
  <si>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</si>
  <si>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</si>
  <si>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</si>
  <si>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</si>
  <si>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</si>
  <si>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</si>
  <si>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</si>
  <si>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</si>
  <si>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</si>
  <si>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</si>
  <si>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</si>
  <si>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</si>
  <si>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</si>
  <si>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</si>
  <si>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</si>
  <si>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</si>
  <si>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</si>
  <si>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</si>
  <si>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</si>
  <si>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</si>
  <si>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</si>
  <si>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</si>
  <si>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</si>
  <si>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</si>
  <si>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</si>
  <si>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</si>
  <si>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</si>
  <si>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</si>
  <si>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</si>
  <si>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</si>
  <si>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</si>
  <si>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</si>
  <si>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</si>
  <si>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</si>
  <si>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</si>
  <si>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</si>
  <si>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</si>
  <si>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</si>
  <si>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</si>
  <si>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</si>
  <si>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</si>
  <si>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</si>
  <si>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</si>
  <si>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</si>
  <si>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</si>
  <si>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</si>
  <si>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</si>
  <si>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</si>
  <si>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</si>
  <si>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</si>
  <si>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</si>
  <si>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</si>
  <si>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</si>
  <si>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</si>
  <si>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</si>
  <si>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</si>
  <si>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</si>
  <si>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</si>
  <si>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</si>
  <si>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</si>
  <si>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</si>
  <si>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</si>
  <si>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</si>
  <si>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</si>
  <si>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</si>
  <si>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</si>
  <si>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</si>
  <si>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</si>
  <si>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</si>
  <si>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</si>
  <si>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</si>
  <si>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</si>
  <si>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</si>
  <si>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</si>
  <si>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</si>
  <si>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</si>
  <si>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</si>
  <si>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</si>
  <si>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</si>
  <si>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</si>
  <si>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</si>
  <si>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</si>
  <si>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</si>
  <si>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</si>
  <si>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</si>
  <si>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</si>
  <si>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</si>
  <si>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</si>
  <si>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</si>
  <si>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</si>
  <si>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</si>
  <si>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</si>
  <si>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</si>
  <si>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</si>
  <si>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</si>
  <si>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</si>
  <si>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</si>
  <si>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</si>
  <si>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</si>
  <si>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</si>
  <si>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</si>
  <si>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</si>
  <si>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</si>
  <si>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</si>
  <si>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</si>
  <si>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</si>
  <si>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</si>
  <si>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</si>
  <si>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</si>
  <si>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</si>
  <si>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</si>
  <si>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</si>
  <si>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</si>
  <si>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</si>
  <si>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</si>
  <si>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</si>
  <si>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</si>
  <si>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</si>
  <si>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</si>
  <si>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</si>
  <si>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</si>
  <si>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</si>
  <si>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</si>
  <si>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</si>
  <si>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</si>
  <si>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</si>
  <si>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</si>
  <si>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</si>
  <si>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</si>
  <si>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</si>
  <si>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</si>
  <si>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</si>
  <si>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</si>
  <si>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</si>
  <si>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</si>
  <si>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</si>
  <si>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</si>
  <si>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</si>
  <si>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</si>
  <si>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</si>
  <si>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</si>
  <si>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</si>
  <si>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</si>
  <si>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</si>
  <si>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</si>
  <si>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</si>
  <si>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</si>
  <si>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</si>
  <si>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</si>
  <si>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</si>
  <si>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</si>
  <si>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</si>
  <si>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</si>
  <si>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</si>
  <si>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</si>
  <si>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</si>
  <si>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</si>
  <si>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</si>
  <si>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</si>
  <si>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</si>
  <si>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</si>
  <si>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</si>
  <si>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</si>
  <si>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</si>
  <si>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</si>
  <si>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</si>
  <si>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</si>
  <si>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</si>
  <si>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</si>
  <si>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</si>
  <si>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</si>
  <si>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</si>
  <si>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</si>
  <si>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</si>
  <si>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</si>
  <si>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</si>
  <si>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</si>
  <si>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</si>
  <si>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</si>
  <si>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</si>
  <si>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</si>
  <si>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</si>
  <si>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</si>
  <si>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</si>
  <si>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</si>
  <si>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</si>
  <si>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</si>
  <si>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</si>
  <si>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</si>
  <si>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</si>
  <si>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</si>
  <si>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</si>
  <si>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</si>
  <si>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</si>
  <si>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</si>
  <si>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</si>
  <si>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</si>
  <si>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</si>
  <si>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</si>
  <si>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</si>
  <si>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</si>
  <si>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</si>
  <si>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</si>
  <si>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</si>
  <si>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</si>
  <si>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</si>
  <si>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</si>
  <si>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</si>
  <si>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</si>
  <si>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</si>
  <si>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</si>
  <si>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</si>
  <si>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</si>
  <si>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</si>
  <si>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</si>
  <si>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</si>
  <si>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</si>
  <si>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</si>
  <si>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</si>
  <si>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</si>
  <si>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</si>
  <si>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</si>
  <si>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</si>
  <si>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</si>
  <si>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</si>
  <si>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</si>
  <si>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</si>
  <si>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</si>
  <si>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</si>
  <si>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</si>
  <si>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</si>
  <si>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</si>
  <si>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</si>
  <si>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</si>
  <si>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</si>
  <si>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</si>
  <si>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</si>
  <si>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</si>
  <si>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</si>
  <si>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</si>
  <si>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</si>
  <si>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</si>
  <si>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</si>
  <si>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</si>
  <si>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</si>
  <si>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</si>
  <si>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</si>
  <si>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</si>
  <si>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</si>
  <si>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</si>
  <si>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</si>
  <si>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</si>
  <si>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</si>
  <si>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</si>
  <si>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</si>
  <si>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</si>
  <si>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</si>
  <si>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</si>
  <si>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</si>
  <si>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</si>
  <si>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</si>
  <si>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</si>
  <si>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</si>
  <si>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</si>
  <si>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</si>
  <si>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</si>
  <si>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</si>
  <si>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</si>
  <si>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</si>
  <si>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</si>
  <si>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</si>
  <si>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</si>
  <si>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</si>
  <si>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</si>
  <si>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</si>
  <si>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</si>
  <si>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</si>
  <si>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</si>
  <si>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</si>
  <si>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</si>
  <si>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</si>
  <si>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</si>
  <si>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</si>
  <si>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</si>
  <si>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</si>
  <si>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</si>
  <si>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</si>
  <si>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</si>
  <si>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</si>
  <si>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</si>
  <si>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</si>
  <si>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</si>
  <si>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</si>
  <si>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</si>
  <si>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</si>
  <si>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</si>
  <si>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</si>
  <si>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</si>
  <si>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</si>
  <si>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</si>
  <si>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</si>
  <si>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</si>
  <si>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</si>
  <si>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</si>
  <si>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</si>
  <si>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</si>
  <si>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</si>
  <si>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</si>
  <si>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</si>
  <si>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</si>
  <si>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</si>
  <si>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</si>
  <si>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</si>
  <si>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</si>
  <si>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</si>
  <si>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</si>
  <si>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</si>
  <si>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</si>
  <si>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</si>
  <si>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</si>
  <si>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</si>
  <si>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</si>
  <si>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</si>
  <si>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</si>
  <si>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</si>
  <si>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</si>
  <si>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</si>
  <si>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</si>
  <si>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</si>
  <si>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</si>
  <si>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</si>
  <si>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</si>
  <si>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</si>
  <si>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</si>
  <si>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</si>
  <si>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</si>
  <si>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</si>
  <si>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</si>
  <si>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</si>
  <si>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</si>
  <si>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</si>
  <si>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</si>
  <si>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</si>
  <si>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</si>
  <si>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</si>
  <si>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</si>
  <si>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</si>
  <si>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</si>
  <si>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</si>
  <si>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</si>
  <si>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</si>
  <si>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</si>
  <si>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</si>
  <si>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</si>
  <si>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</si>
  <si>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</si>
  <si>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</si>
  <si>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</si>
  <si>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</si>
  <si>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</si>
  <si>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</si>
  <si>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</si>
  <si>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</si>
  <si>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</si>
  <si>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</si>
  <si>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</si>
  <si>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</si>
  <si>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</si>
  <si>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</si>
  <si>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</si>
  <si>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</si>
  <si>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</si>
  <si>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</si>
  <si>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</si>
  <si>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</si>
  <si>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</si>
  <si>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</si>
  <si>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</si>
  <si>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</si>
  <si>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</si>
  <si>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</si>
  <si>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</si>
  <si>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</si>
  <si>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</si>
  <si>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</si>
  <si>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</si>
  <si>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</si>
  <si>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</si>
  <si>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</si>
  <si>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</si>
  <si>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</si>
  <si>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</si>
  <si>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</si>
  <si>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</si>
  <si>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</si>
  <si>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</si>
  <si>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</si>
  <si>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</si>
  <si>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</si>
  <si>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</si>
  <si>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</si>
  <si>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</si>
  <si>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</si>
  <si>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</si>
  <si>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</si>
  <si>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</si>
  <si>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</si>
  <si>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</si>
  <si>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</si>
  <si>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</si>
  <si>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</si>
  <si>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</si>
  <si>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</si>
  <si>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</si>
  <si>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</si>
  <si>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</si>
  <si>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</si>
  <si>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</si>
  <si>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</si>
  <si>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</si>
  <si>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</si>
  <si>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</si>
  <si>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</si>
  <si>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</si>
  <si>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</si>
  <si>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</si>
  <si>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</si>
  <si>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</si>
  <si>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</si>
  <si>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</si>
  <si>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</si>
  <si>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</si>
  <si>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</si>
  <si>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</si>
  <si>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</si>
  <si>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</si>
  <si>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</si>
  <si>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</si>
  <si>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</si>
  <si>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</si>
  <si>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</si>
  <si>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</si>
  <si>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</si>
  <si>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</si>
  <si>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</si>
  <si>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</si>
  <si>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</si>
  <si>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</si>
  <si>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</si>
  <si>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</si>
  <si>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</si>
  <si>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</si>
  <si>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</si>
  <si>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</si>
  <si>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</si>
  <si>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</si>
  <si>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</si>
  <si>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</si>
  <si>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</si>
  <si>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</si>
  <si>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</si>
  <si>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</si>
  <si>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</si>
  <si>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</si>
  <si>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</si>
  <si>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</si>
  <si>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</si>
  <si>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</si>
  <si>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</si>
  <si>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</si>
  <si>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</si>
  <si>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</si>
  <si>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</si>
  <si>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</si>
  <si>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</si>
  <si>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</si>
  <si>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</si>
  <si>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</si>
  <si>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</si>
  <si>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</si>
  <si>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</si>
  <si>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</si>
  <si>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</si>
  <si>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</si>
  <si>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</si>
  <si>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</si>
  <si>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</si>
  <si>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</si>
  <si>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</si>
  <si>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</si>
  <si>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</si>
  <si>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</si>
  <si>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</si>
  <si>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</si>
  <si>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</si>
  <si>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</si>
  <si>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</si>
  <si>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</si>
  <si>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</si>
  <si>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</si>
  <si>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</si>
  <si>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</si>
  <si>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</si>
  <si>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</si>
  <si>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</si>
  <si>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</si>
  <si>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</si>
  <si>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</si>
  <si>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</si>
  <si>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</si>
  <si>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</si>
  <si>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</si>
  <si>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</si>
  <si>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</si>
  <si>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</si>
  <si>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</si>
  <si>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</si>
  <si>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</si>
  <si>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</si>
  <si>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</si>
  <si>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</si>
  <si>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</si>
  <si>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</si>
  <si>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</si>
  <si>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</si>
  <si>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</si>
  <si>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</si>
  <si>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</si>
  <si>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</si>
  <si>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</si>
  <si>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</si>
  <si>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</si>
  <si>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</si>
  <si>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</si>
  <si>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</si>
  <si>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</si>
  <si>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</si>
  <si>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</si>
  <si>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</si>
  <si>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</si>
  <si>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</si>
  <si>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</si>
  <si>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</si>
  <si>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</si>
  <si>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</si>
  <si>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</si>
  <si>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</si>
  <si>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</si>
  <si>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</si>
  <si>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</si>
  <si>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</si>
  <si>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</si>
  <si>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</si>
  <si>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</si>
  <si>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</si>
  <si>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</si>
  <si>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</si>
  <si>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</si>
  <si>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</si>
  <si>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</si>
  <si>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</si>
  <si>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</si>
  <si>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</si>
  <si>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</si>
  <si>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</si>
  <si>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</si>
  <si>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</si>
  <si>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</si>
  <si>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</si>
  <si>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</si>
  <si>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</si>
  <si>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</si>
  <si>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</si>
  <si>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</si>
  <si>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</si>
  <si>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</si>
  <si>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</si>
  <si>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</si>
  <si>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</si>
  <si>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</si>
  <si>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</si>
  <si>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</si>
  <si>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</si>
  <si>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</si>
  <si>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</si>
  <si>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</si>
  <si>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</si>
  <si>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</si>
  <si>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</si>
  <si>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</si>
  <si>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</si>
  <si>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</si>
  <si>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</si>
  <si>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</si>
  <si>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</si>
  <si>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</si>
  <si>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</si>
  <si>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</si>
  <si>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</si>
  <si>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</si>
  <si>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</si>
  <si>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</si>
  <si>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</si>
  <si>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</si>
  <si>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</si>
  <si>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</si>
  <si>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</si>
  <si>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</si>
  <si>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</si>
  <si>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</si>
  <si>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</si>
  <si>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</si>
  <si>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</si>
  <si>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</si>
  <si>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</si>
  <si>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</si>
  <si>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</si>
  <si>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</si>
  <si>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</si>
  <si>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</si>
  <si>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</si>
  <si>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</si>
  <si>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</si>
  <si>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</si>
  <si>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</si>
  <si>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</si>
  <si>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</si>
  <si>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</si>
  <si>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</si>
  <si>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</si>
  <si>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</si>
  <si>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</si>
  <si>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</si>
  <si>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</si>
  <si>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</si>
  <si>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</si>
  <si>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</si>
  <si>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</si>
  <si>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</si>
  <si>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</si>
  <si>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</si>
  <si>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</si>
  <si>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</si>
  <si>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</si>
  <si>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</si>
  <si>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</si>
  <si>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</si>
  <si>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</si>
  <si>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</si>
  <si>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</si>
  <si>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</si>
  <si>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</si>
  <si>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</si>
  <si>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</si>
  <si>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</si>
  <si>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</si>
  <si>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</si>
  <si>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</si>
  <si>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</si>
  <si>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</si>
  <si>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</si>
  <si>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</si>
  <si>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</si>
  <si>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</si>
  <si>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</si>
  <si>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</si>
  <si>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</si>
  <si>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</si>
  <si>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</si>
  <si>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</si>
  <si>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</si>
  <si>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</si>
  <si>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</si>
  <si>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</si>
  <si>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</si>
  <si>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</si>
  <si>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</si>
  <si>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</si>
  <si>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</si>
  <si>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</si>
  <si>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</si>
  <si>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</si>
  <si>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</si>
  <si>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</si>
  <si>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</si>
  <si>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</si>
  <si>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</si>
  <si>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</si>
  <si>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</si>
  <si>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</si>
  <si>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</si>
  <si>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</si>
  <si>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</si>
  <si>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</si>
  <si>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</si>
  <si>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</si>
  <si>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</si>
  <si>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</si>
  <si>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</si>
  <si>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</si>
  <si>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</si>
  <si>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</si>
  <si>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</si>
  <si>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</si>
  <si>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</si>
  <si>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</si>
  <si>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</si>
  <si>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</si>
  <si>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</si>
  <si>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</si>
  <si>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</si>
  <si>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</si>
  <si>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</si>
  <si>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</si>
  <si>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</si>
  <si>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</si>
  <si>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</si>
  <si>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</si>
  <si>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</si>
  <si>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</si>
  <si>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</si>
  <si>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</si>
  <si>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</si>
  <si>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</si>
  <si>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</si>
  <si>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</si>
  <si>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</si>
  <si>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</si>
  <si>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</si>
  <si>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</si>
  <si>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</si>
  <si>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</si>
  <si>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</si>
  <si>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</si>
  <si>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</si>
  <si>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</si>
  <si>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</si>
  <si>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</si>
  <si>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</si>
  <si>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</si>
  <si>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</si>
  <si>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</si>
  <si>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</si>
  <si>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</si>
  <si>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</si>
  <si>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</si>
  <si>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</si>
  <si>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</si>
  <si>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</si>
  <si>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</si>
  <si>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</si>
  <si>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</si>
  <si>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</si>
  <si>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</si>
  <si>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</si>
  <si>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</si>
  <si>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</si>
  <si>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</si>
  <si>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</si>
  <si>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</si>
  <si>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</si>
  <si>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</si>
  <si>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</si>
  <si>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</si>
  <si>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</si>
  <si>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</si>
  <si>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</si>
  <si>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</si>
  <si>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</si>
  <si>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</si>
  <si>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</si>
  <si>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</si>
  <si>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</si>
  <si>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</si>
  <si>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</si>
  <si>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</si>
  <si>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</si>
  <si>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</si>
  <si>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</si>
  <si>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</si>
  <si>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</si>
  <si>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</si>
  <si>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</si>
  <si>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</si>
  <si>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</si>
  <si>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</si>
  <si>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</si>
  <si>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</si>
  <si>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</si>
  <si>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</si>
  <si>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</si>
  <si>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</si>
  <si>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</si>
  <si>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</si>
  <si>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</si>
  <si>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</si>
  <si>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</si>
  <si>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</si>
  <si>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</si>
  <si>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</si>
  <si>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</si>
  <si>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</si>
  <si>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</si>
  <si>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</si>
  <si>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</si>
  <si>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</si>
  <si>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</si>
  <si>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</si>
  <si>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</si>
  <si>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</si>
  <si>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</si>
  <si>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</si>
  <si>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</si>
  <si>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</si>
  <si>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</si>
  <si>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</si>
  <si>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</si>
  <si>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</si>
  <si>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</si>
  <si>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</si>
  <si>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</si>
  <si>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</si>
  <si>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</si>
  <si>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</si>
  <si>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</si>
  <si>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</si>
  <si>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</si>
  <si>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</si>
  <si>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</si>
  <si>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</si>
  <si>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</si>
  <si>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</si>
  <si>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</si>
  <si>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</si>
  <si>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</si>
  <si>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</si>
  <si>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</si>
  <si>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</si>
  <si>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</si>
  <si>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</si>
  <si>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</si>
  <si>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</si>
  <si>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</si>
  <si>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</si>
  <si>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</si>
  <si>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</si>
  <si>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</si>
  <si>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</si>
  <si>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</si>
  <si>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</si>
  <si>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</si>
  <si>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</si>
  <si>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</si>
  <si>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</si>
  <si>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</si>
  <si>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</si>
  <si>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</si>
  <si>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</si>
  <si>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</si>
  <si>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</si>
  <si>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</si>
  <si>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</si>
  <si>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</si>
  <si>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</si>
  <si>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</si>
  <si>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</si>
  <si>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</si>
  <si>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</si>
  <si>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</si>
  <si>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</si>
  <si>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</si>
  <si>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</si>
  <si>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</si>
  <si>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</si>
  <si>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</si>
  <si>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</si>
  <si>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</si>
  <si>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</si>
  <si>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</si>
  <si>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</si>
  <si>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</si>
  <si>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</si>
  <si>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</si>
  <si>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</si>
  <si>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</si>
  <si>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</si>
  <si>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</si>
  <si>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</si>
  <si>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</si>
  <si>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</si>
  <si>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</si>
  <si>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</si>
  <si>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</si>
  <si>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</si>
  <si>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</si>
  <si>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</si>
  <si>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</si>
  <si>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</si>
  <si>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</si>
  <si>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</si>
  <si>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</si>
  <si>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</si>
  <si>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</si>
  <si>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</si>
  <si>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</si>
  <si>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</si>
  <si>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</si>
  <si>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</si>
  <si>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</si>
  <si>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</si>
  <si>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</si>
  <si>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</si>
  <si>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</si>
  <si>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</si>
  <si>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</si>
  <si>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</si>
  <si>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</si>
  <si>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</si>
  <si>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</si>
  <si>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</si>
  <si>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</si>
  <si>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</si>
  <si>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</si>
  <si>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</si>
  <si>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</si>
  <si>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</si>
  <si>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</si>
  <si>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</si>
  <si>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</si>
  <si>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</si>
  <si>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</si>
  <si>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</si>
  <si>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</si>
  <si>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</si>
  <si>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</si>
  <si>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</si>
  <si>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</si>
  <si>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</si>
  <si>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</si>
  <si>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</si>
  <si>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</si>
  <si>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</si>
  <si>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</si>
  <si>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</si>
  <si>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</si>
  <si>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</si>
  <si>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</si>
  <si>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</si>
  <si>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</si>
  <si>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</si>
  <si>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</si>
  <si>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</si>
  <si>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</si>
  <si>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</si>
  <si>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</si>
  <si>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</si>
  <si>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</si>
  <si>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</si>
  <si>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</si>
  <si>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</si>
  <si>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</si>
  <si>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</si>
  <si>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</si>
  <si>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</si>
  <si>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</si>
  <si>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</si>
  <si>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</si>
  <si>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</si>
  <si>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</si>
  <si>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</si>
  <si>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</si>
  <si>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</si>
  <si>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</si>
  <si>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</si>
  <si>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</si>
  <si>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</si>
  <si>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</si>
  <si>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</si>
  <si>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</si>
  <si>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</si>
  <si>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</si>
  <si>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</si>
  <si>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</si>
  <si>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</si>
  <si>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</si>
  <si>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</si>
  <si>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</si>
  <si>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</si>
  <si>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</si>
  <si>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</si>
  <si>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</si>
  <si>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</si>
  <si>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</si>
  <si>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</si>
  <si>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</si>
  <si>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</si>
  <si>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</si>
  <si>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</si>
  <si>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</si>
  <si>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</si>
  <si>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</si>
  <si>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</si>
  <si>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</si>
  <si>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</si>
  <si>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</si>
  <si>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</si>
  <si>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</si>
  <si>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</si>
  <si>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</si>
  <si>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</si>
  <si>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</si>
  <si>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</si>
  <si>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</si>
  <si>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</si>
  <si>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</si>
  <si>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</si>
  <si>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</si>
  <si>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</si>
  <si>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</si>
  <si>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</si>
  <si>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</si>
  <si>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</si>
  <si>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</si>
  <si>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</si>
  <si>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</si>
  <si>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</si>
  <si>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</si>
  <si>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</si>
  <si>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</si>
  <si>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</si>
  <si>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</si>
  <si>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</si>
  <si>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</si>
  <si>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</si>
  <si>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</si>
  <si>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</si>
  <si>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</si>
  <si>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</si>
  <si>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</si>
  <si>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</si>
  <si>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</si>
  <si>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</si>
  <si>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</si>
  <si>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</si>
  <si>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</si>
  <si>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</si>
  <si>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</si>
  <si>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</si>
  <si>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</si>
  <si>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</si>
  <si>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</si>
  <si>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</si>
  <si>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</si>
  <si>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</si>
  <si>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</si>
  <si>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</si>
  <si>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</si>
  <si>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</si>
  <si>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</si>
  <si>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</si>
  <si>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</si>
  <si>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</si>
  <si>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</si>
  <si>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</si>
  <si>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</si>
  <si>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</si>
  <si>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</si>
  <si>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</si>
  <si>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</si>
  <si>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</si>
  <si>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</si>
  <si>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</si>
  <si>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</si>
  <si>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</si>
  <si>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</si>
  <si>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</si>
  <si>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</si>
  <si>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</si>
  <si>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</si>
  <si>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</si>
  <si>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</si>
  <si>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</si>
  <si>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</si>
  <si>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</si>
  <si>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</si>
  <si>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</si>
  <si>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</si>
  <si>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</si>
  <si>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</si>
  <si>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</si>
  <si>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</si>
  <si>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</si>
  <si>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</si>
  <si>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</si>
  <si>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</si>
  <si>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</si>
  <si>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</si>
  <si>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</si>
  <si>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</si>
  <si>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</si>
  <si>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</si>
  <si>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</si>
  <si>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</si>
  <si>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</si>
  <si>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</si>
  <si>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</si>
  <si>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</si>
  <si>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</si>
  <si>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</si>
  <si>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</si>
  <si>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</si>
  <si>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</si>
  <si>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</si>
  <si>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</si>
  <si>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</si>
  <si>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</si>
  <si>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</si>
  <si>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</si>
  <si>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</si>
  <si>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</si>
  <si>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</si>
  <si>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</si>
  <si>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</si>
  <si>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</si>
  <si>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</si>
  <si>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</si>
  <si>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</si>
  <si>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</si>
  <si>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</si>
  <si>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</si>
  <si>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</si>
  <si>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</si>
  <si>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</si>
  <si>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</si>
  <si>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</si>
  <si>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</si>
  <si>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</si>
  <si>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</si>
  <si>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</si>
  <si>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</si>
  <si>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</si>
  <si>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</si>
  <si>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</si>
  <si>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</si>
  <si>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</si>
  <si>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</si>
  <si>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</si>
  <si>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</si>
  <si>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</si>
  <si>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</si>
  <si>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</si>
  <si>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</si>
  <si>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</si>
  <si>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</si>
  <si>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</si>
  <si>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</si>
  <si>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</si>
  <si>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</si>
  <si>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</si>
  <si>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</si>
  <si>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</si>
  <si>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</si>
  <si>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</si>
  <si>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</si>
  <si>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</si>
  <si>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</si>
  <si>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</si>
  <si>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</si>
  <si>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</si>
  <si>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</si>
  <si>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</si>
  <si>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</si>
  <si>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</si>
  <si>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</si>
  <si>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</si>
  <si>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</si>
  <si>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</si>
  <si>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</si>
  <si>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</si>
  <si>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</si>
  <si>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</si>
  <si>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</si>
  <si>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</si>
  <si>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</si>
  <si>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</si>
  <si>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</si>
  <si>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</si>
  <si>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</si>
  <si>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</si>
  <si>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</si>
  <si>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</si>
  <si>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</si>
  <si>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</si>
  <si>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</si>
  <si>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</si>
  <si>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</si>
  <si>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</si>
  <si>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</si>
  <si>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</si>
  <si>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</si>
  <si>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</si>
  <si>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</si>
  <si>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</si>
  <si>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</si>
  <si>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</si>
  <si>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</si>
  <si>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</si>
  <si>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</si>
  <si>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</si>
  <si>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</si>
  <si>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</si>
  <si>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</si>
  <si>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</si>
  <si>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</si>
  <si>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</si>
  <si>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</si>
  <si>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</si>
  <si>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</si>
  <si>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</si>
  <si>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</si>
  <si>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</si>
  <si>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</si>
  <si>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</si>
  <si>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</si>
  <si>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</si>
  <si>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</si>
  <si>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</si>
  <si>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</si>
  <si>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</si>
  <si>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</si>
  <si>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</si>
  <si>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</si>
  <si>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</si>
  <si>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</si>
  <si>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</si>
  <si>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</si>
  <si>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</si>
  <si>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</si>
  <si>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</si>
  <si>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</si>
  <si>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</si>
  <si>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</si>
  <si>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</si>
  <si>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</si>
  <si>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</si>
  <si>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</si>
  <si>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</si>
  <si>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</si>
  <si>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</si>
  <si>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</si>
  <si>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</si>
  <si>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</si>
  <si>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</si>
  <si>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</si>
  <si>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</si>
  <si>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</si>
  <si>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</si>
  <si>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</si>
  <si>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</si>
  <si>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</si>
  <si>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</si>
  <si>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</si>
  <si>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</si>
  <si>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</si>
  <si>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</si>
  <si>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</si>
  <si>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</si>
  <si>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</si>
  <si>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</si>
  <si>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</si>
  <si>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</si>
  <si>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</si>
  <si>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</si>
  <si>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</si>
  <si>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</si>
  <si>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</si>
  <si>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</si>
  <si>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</si>
  <si>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</si>
  <si>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</si>
  <si>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</si>
  <si>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</si>
  <si>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</si>
  <si>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</si>
  <si>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</si>
  <si>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</si>
  <si>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</si>
  <si>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</si>
  <si>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</si>
  <si>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</si>
  <si>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</si>
  <si>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</si>
  <si>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</si>
  <si>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</si>
  <si>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</si>
  <si>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</si>
  <si>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</si>
  <si>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</si>
  <si>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</si>
  <si>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</si>
  <si>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</si>
  <si>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</si>
  <si>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</si>
  <si>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</si>
  <si>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</si>
  <si>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</si>
  <si>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</si>
  <si>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</si>
  <si>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</si>
  <si>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</si>
  <si>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</si>
  <si>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</si>
  <si>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</si>
  <si>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</si>
  <si>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</si>
  <si>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</si>
  <si>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</si>
  <si>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</si>
  <si>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</si>
  <si>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</si>
  <si>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</si>
  <si>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</si>
  <si>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</si>
  <si>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</si>
  <si>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</si>
  <si>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</si>
  <si>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</si>
  <si>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</si>
  <si>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</si>
  <si>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</si>
  <si>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</si>
  <si>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</si>
  <si>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</si>
  <si>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</si>
  <si>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</si>
  <si>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</si>
  <si>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</si>
  <si>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</si>
  <si>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</si>
  <si>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</si>
  <si>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</si>
  <si>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</si>
  <si>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</si>
  <si>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</si>
  <si>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</si>
  <si>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</si>
  <si>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</si>
  <si>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</si>
  <si>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</si>
  <si>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</si>
  <si>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</si>
  <si>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</si>
  <si>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</si>
  <si>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</si>
  <si>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</si>
  <si>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</si>
  <si>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</si>
  <si>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</si>
  <si>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</si>
  <si>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</si>
  <si>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</si>
  <si>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</si>
  <si>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</si>
  <si>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</si>
  <si>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</si>
  <si>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</si>
  <si>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</si>
  <si>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</si>
  <si>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</si>
  <si>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</si>
  <si>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</si>
  <si>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</si>
  <si>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</si>
  <si>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</si>
  <si>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</si>
  <si>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</si>
  <si>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</si>
  <si>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</si>
  <si>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</si>
  <si>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</si>
  <si>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</si>
  <si>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</si>
  <si>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</si>
  <si>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</si>
  <si>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</si>
  <si>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</si>
  <si>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</si>
  <si>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</si>
  <si>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</si>
  <si>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</si>
  <si>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</si>
  <si>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</si>
  <si>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</si>
  <si>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</si>
  <si>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</si>
  <si>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</si>
  <si>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</si>
  <si>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</si>
  <si>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</si>
  <si>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</si>
  <si>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</si>
  <si>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</si>
  <si>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</si>
  <si>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</si>
  <si>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</si>
  <si>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</si>
  <si>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</si>
  <si>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</si>
  <si>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</si>
  <si>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</si>
  <si>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</si>
  <si>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</si>
  <si>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</si>
  <si>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</si>
  <si>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</si>
  <si>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</si>
  <si>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</si>
  <si>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</si>
  <si>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</si>
  <si>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</si>
  <si>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</si>
  <si>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</si>
  <si>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</si>
  <si>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</si>
  <si>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</si>
  <si>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</si>
  <si>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</si>
  <si>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</si>
  <si>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</si>
  <si>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</si>
  <si>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</si>
  <si>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</si>
  <si>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</si>
  <si>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</si>
  <si>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</si>
  <si>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</si>
  <si>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</si>
  <si>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</si>
  <si>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</si>
  <si>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</si>
  <si>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</si>
  <si>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</si>
  <si>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</si>
  <si>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</si>
  <si>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</si>
  <si>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</si>
  <si>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</si>
  <si>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</si>
  <si>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</si>
  <si>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</si>
  <si>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</si>
  <si>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</si>
  <si>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</si>
  <si>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</si>
  <si>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</si>
  <si>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</si>
  <si>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</si>
  <si>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</si>
  <si>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</si>
  <si>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</si>
  <si>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</si>
  <si>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</si>
  <si>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</si>
  <si>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</si>
  <si>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</si>
  <si>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</si>
  <si>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</si>
  <si>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</si>
  <si>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</si>
  <si>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</si>
  <si>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</si>
  <si>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</si>
  <si>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</si>
  <si>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</si>
  <si>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</si>
  <si>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</si>
  <si>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</si>
  <si>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</si>
  <si>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</si>
  <si>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</si>
  <si>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</si>
  <si>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</si>
  <si>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</si>
  <si>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</si>
  <si>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</si>
  <si>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</si>
  <si>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</si>
  <si>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</si>
  <si>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</si>
  <si>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</si>
  <si>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</si>
  <si>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</si>
  <si>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</si>
  <si>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</si>
  <si>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</si>
  <si>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</si>
  <si>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</si>
  <si>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</si>
  <si>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</si>
  <si>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</si>
  <si>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</si>
  <si>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</si>
  <si>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</si>
  <si>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</si>
  <si>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</si>
  <si>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</si>
  <si>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</si>
  <si>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</si>
  <si>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</si>
  <si>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</si>
  <si>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</si>
  <si>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</si>
  <si>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</si>
  <si>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</si>
  <si>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</si>
  <si>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</si>
  <si>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</si>
  <si>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</si>
  <si>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</si>
  <si>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</si>
  <si>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</si>
  <si>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</si>
  <si>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</si>
  <si>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</si>
  <si>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</si>
  <si>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</si>
  <si>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</si>
  <si>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</si>
  <si>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</si>
  <si>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</si>
  <si>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</si>
  <si>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</si>
  <si>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</si>
  <si>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</si>
  <si>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</si>
  <si>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</si>
  <si>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</si>
  <si>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</si>
  <si>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</si>
  <si>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</si>
  <si>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</si>
  <si>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</si>
  <si>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</si>
  <si>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</si>
  <si>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</si>
  <si>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</si>
  <si>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</si>
  <si>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</si>
  <si>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</si>
  <si>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</si>
  <si>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</si>
  <si>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</si>
  <si>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</si>
  <si>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</si>
  <si>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</si>
  <si>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</si>
  <si>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</si>
  <si>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</si>
  <si>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</si>
  <si>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</si>
  <si>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</si>
  <si>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</si>
  <si>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</si>
  <si>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</si>
  <si>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</si>
  <si>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</si>
  <si>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</si>
  <si>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</si>
  <si>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</si>
  <si>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</si>
  <si>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</si>
  <si>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</si>
  <si>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</si>
  <si>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</si>
  <si>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</si>
  <si>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</si>
  <si>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</si>
  <si>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</si>
  <si>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</si>
  <si>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</si>
  <si>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</si>
  <si>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</si>
  <si>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</si>
  <si>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</si>
  <si>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</si>
  <si>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</si>
  <si>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</si>
  <si>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</si>
  <si>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</si>
  <si>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</si>
  <si>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</si>
  <si>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</si>
  <si>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</si>
  <si>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</si>
  <si>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</si>
  <si>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</si>
  <si>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</si>
  <si>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</si>
  <si>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</si>
  <si>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</si>
  <si>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</si>
  <si>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</si>
  <si>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</si>
  <si>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</si>
  <si>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</si>
  <si>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</si>
  <si>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</si>
  <si>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</si>
  <si>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</si>
  <si>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</si>
  <si>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</si>
  <si>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</si>
  <si>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</si>
  <si>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</si>
  <si>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</si>
  <si>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</si>
  <si>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</si>
  <si>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</si>
  <si>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</si>
  <si>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</si>
  <si>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</si>
  <si>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</si>
  <si>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</si>
  <si>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</si>
  <si>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</si>
  <si>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</si>
  <si>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</si>
  <si>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</si>
  <si>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</si>
  <si>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</si>
  <si>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</si>
  <si>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</si>
  <si>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</si>
  <si>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</si>
  <si>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</si>
  <si>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</si>
  <si>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</si>
  <si>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</si>
  <si>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</si>
  <si>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</si>
  <si>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</si>
  <si>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</si>
  <si>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</si>
  <si>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</si>
  <si>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</si>
  <si>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</si>
  <si>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</si>
  <si>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</si>
  <si>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</si>
  <si>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</si>
  <si>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</si>
  <si>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</si>
  <si>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</si>
  <si>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</si>
  <si>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</si>
  <si>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</si>
  <si>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</si>
  <si>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</si>
  <si>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</si>
  <si>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</si>
  <si>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</si>
  <si>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</si>
  <si>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</si>
  <si>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</si>
  <si>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</si>
  <si>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</si>
  <si>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</si>
  <si>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</si>
  <si>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</si>
  <si>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</si>
  <si>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</si>
  <si>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</si>
  <si>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</si>
  <si>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</si>
  <si>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</si>
  <si>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</si>
  <si>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</si>
  <si>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</si>
  <si>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</si>
  <si>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</si>
  <si>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</si>
  <si>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</si>
  <si>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</si>
  <si>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</si>
  <si>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</si>
  <si>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</si>
  <si>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</si>
  <si>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</si>
  <si>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</si>
  <si>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</si>
  <si>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</si>
  <si>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</si>
  <si>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</si>
  <si>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</si>
  <si>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</si>
  <si>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</si>
  <si>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</si>
  <si>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</si>
  <si>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</si>
  <si>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</si>
  <si>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</si>
  <si>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</si>
  <si>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</si>
  <si>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</si>
  <si>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</si>
  <si>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</si>
  <si>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</si>
  <si>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</si>
  <si>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</si>
  <si>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</si>
  <si>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</si>
  <si>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</si>
  <si>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</si>
  <si>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</si>
  <si>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</si>
  <si>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</si>
  <si>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</si>
  <si>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</si>
  <si>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</si>
  <si>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</si>
  <si>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</si>
  <si>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</si>
  <si>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</si>
  <si>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</si>
  <si>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</si>
  <si>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</si>
  <si>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</si>
  <si>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</si>
  <si>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</si>
  <si>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</si>
  <si>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</si>
  <si>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</si>
  <si>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</si>
  <si>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</si>
  <si>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</si>
  <si>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</si>
  <si>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</si>
  <si>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</si>
  <si>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</si>
  <si>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</si>
  <si>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</si>
  <si>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</si>
  <si>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</si>
  <si>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</si>
  <si>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</si>
  <si>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</si>
  <si>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</si>
  <si>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</si>
  <si>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</si>
  <si>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</si>
  <si>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</si>
  <si>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</si>
  <si>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</si>
  <si>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</si>
  <si>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</si>
  <si>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</si>
  <si>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</si>
  <si>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</si>
  <si>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</si>
  <si>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</si>
  <si>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</si>
  <si>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</si>
  <si>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</si>
  <si>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</si>
  <si>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</si>
  <si>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</si>
  <si>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</si>
  <si>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</si>
  <si>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</si>
  <si>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</si>
  <si>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</si>
  <si>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</si>
  <si>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</si>
  <si>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</si>
  <si>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</si>
  <si>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</si>
  <si>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</si>
  <si>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</si>
  <si>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</si>
  <si>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</si>
  <si>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</si>
  <si>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</si>
  <si>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</si>
  <si>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</si>
  <si>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</si>
  <si>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</si>
  <si>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</si>
  <si>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</si>
  <si>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</si>
  <si>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</si>
  <si>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</si>
  <si>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</si>
  <si>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</si>
  <si>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</si>
  <si>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</si>
  <si>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</si>
  <si>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</si>
  <si>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</si>
  <si>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</si>
  <si>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</si>
  <si>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</si>
  <si>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</si>
  <si>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</si>
  <si>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</si>
  <si>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</si>
  <si>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</si>
  <si>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</si>
  <si>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</si>
  <si>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</si>
  <si>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</si>
  <si>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</si>
  <si>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</si>
  <si>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</si>
  <si>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</si>
  <si>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</si>
  <si>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</si>
  <si>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</si>
  <si>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</si>
  <si>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</si>
  <si>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</si>
  <si>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</si>
  <si>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</si>
  <si>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</si>
  <si>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</si>
  <si>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</si>
  <si>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</si>
  <si>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</si>
  <si>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</si>
  <si>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</si>
  <si>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</si>
  <si>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</si>
  <si>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</si>
  <si>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</si>
  <si>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</si>
  <si>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</si>
  <si>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</si>
  <si>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</si>
  <si>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</si>
  <si>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</si>
  <si>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</si>
  <si>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</si>
  <si>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</si>
  <si>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</si>
  <si>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</si>
  <si>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</si>
  <si>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</si>
  <si>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</si>
  <si>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</si>
  <si>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</si>
  <si>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</si>
  <si>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</si>
  <si>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</si>
  <si>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</si>
  <si>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</si>
  <si>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</si>
  <si>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</si>
  <si>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</si>
  <si>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</si>
  <si>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</si>
  <si>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</si>
  <si>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</si>
  <si>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</si>
  <si>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</si>
  <si>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</si>
  <si>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</si>
  <si>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</si>
  <si>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</si>
  <si>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</si>
  <si>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</si>
  <si>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</si>
  <si>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</si>
  <si>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</si>
  <si>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</si>
  <si>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</si>
  <si>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</si>
  <si>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</si>
  <si>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</si>
  <si>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</si>
  <si>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</si>
  <si>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</si>
  <si>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</si>
  <si>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</si>
  <si>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</si>
  <si>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</si>
  <si>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</si>
  <si>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</si>
  <si>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</si>
  <si>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</si>
  <si>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</si>
  <si>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</si>
  <si>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</si>
  <si>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</si>
  <si>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</si>
  <si>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</si>
  <si>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</si>
  <si>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</si>
  <si>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</si>
  <si>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</si>
  <si>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</si>
  <si>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</si>
  <si>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</si>
  <si>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</si>
  <si>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</si>
  <si>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</si>
  <si>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</si>
  <si>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</si>
  <si>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</si>
  <si>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</si>
  <si>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</si>
  <si>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</si>
  <si>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</si>
  <si>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</si>
  <si>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</si>
  <si>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</si>
  <si>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</si>
  <si>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</si>
  <si>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</si>
  <si>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</si>
  <si>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</si>
  <si>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</si>
  <si>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</si>
  <si>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</si>
  <si>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</si>
  <si>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</si>
  <si>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</si>
  <si>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</si>
  <si>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</si>
  <si>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</si>
  <si>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</si>
  <si>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</si>
  <si>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</si>
  <si>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</si>
  <si>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</si>
  <si>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</si>
  <si>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</si>
  <si>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</si>
  <si>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</si>
  <si>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</si>
  <si>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</si>
  <si>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</si>
  <si>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</si>
  <si>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</si>
  <si>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</si>
  <si>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</si>
  <si>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</si>
  <si>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</si>
  <si>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</si>
  <si>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</si>
  <si>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</si>
  <si>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</si>
  <si>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</si>
  <si>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</si>
  <si>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</si>
  <si>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</si>
  <si>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</si>
  <si>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</si>
  <si>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</si>
  <si>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</si>
  <si>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</si>
  <si>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</si>
  <si>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</si>
  <si>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</si>
  <si>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</si>
  <si>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</si>
  <si>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</si>
  <si>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</si>
  <si>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</si>
  <si>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</si>
  <si>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</si>
  <si>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</si>
  <si>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</si>
  <si>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</si>
  <si>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</si>
  <si>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</si>
  <si>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</si>
  <si>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</si>
  <si>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</si>
  <si>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</si>
  <si>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</si>
  <si>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</si>
  <si>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</si>
  <si>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</si>
  <si>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</si>
  <si>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</si>
  <si>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</si>
  <si>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</si>
  <si>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</si>
  <si>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</si>
  <si>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</si>
  <si>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</si>
  <si>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</si>
  <si>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</si>
  <si>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</si>
  <si>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</si>
  <si>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</si>
  <si>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</si>
  <si>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</si>
  <si>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</si>
  <si>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</si>
  <si>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</si>
  <si>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</si>
  <si>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</si>
  <si>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</si>
  <si>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</si>
  <si>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</si>
  <si>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</si>
  <si>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</si>
  <si>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</si>
  <si>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</si>
  <si>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</si>
  <si>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</si>
  <si>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</si>
  <si>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</si>
  <si>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</si>
  <si>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</si>
  <si>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</si>
  <si>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</si>
  <si>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</si>
  <si>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</si>
  <si>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</si>
  <si>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</si>
  <si>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</si>
  <si>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</si>
  <si>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</si>
  <si>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</si>
  <si>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</si>
  <si>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</si>
  <si>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</si>
  <si>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</si>
  <si>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</si>
  <si>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</si>
  <si>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</si>
  <si>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</si>
  <si>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</si>
  <si>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</si>
  <si>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</si>
  <si>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</si>
  <si>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</si>
  <si>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</si>
  <si>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</si>
  <si>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</si>
  <si>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</si>
  <si>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</si>
  <si>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</si>
  <si>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</si>
  <si>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</si>
  <si>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</si>
  <si>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</si>
  <si>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</si>
  <si>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</si>
  <si>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</si>
  <si>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</si>
  <si>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</si>
  <si>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</si>
  <si>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</si>
  <si>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</si>
  <si>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</si>
  <si>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</si>
  <si>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</si>
  <si>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</si>
  <si>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</si>
  <si>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</si>
  <si>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</si>
  <si>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</si>
  <si>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</si>
  <si>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</si>
  <si>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</si>
  <si>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</si>
  <si>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</si>
  <si>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</si>
  <si>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</si>
  <si>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</si>
  <si>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</si>
  <si>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</si>
  <si>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</si>
  <si>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</si>
  <si>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</si>
  <si>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</si>
  <si>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</si>
  <si>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</si>
  <si>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</si>
  <si>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</si>
  <si>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</si>
  <si>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</si>
  <si>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</si>
  <si>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</si>
  <si>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</si>
  <si>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</si>
  <si>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</si>
  <si>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</si>
  <si>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</si>
  <si>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</si>
  <si>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</si>
  <si>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</si>
  <si>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</si>
  <si>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</si>
  <si>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</si>
  <si>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</si>
  <si>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</si>
  <si>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</si>
  <si>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</si>
  <si>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</si>
  <si>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</si>
  <si>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</si>
  <si>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</si>
  <si>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</si>
  <si>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</si>
  <si>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</si>
  <si>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</si>
  <si>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</si>
  <si>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</si>
  <si>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</si>
  <si>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</si>
  <si>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</si>
  <si>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</si>
  <si>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</si>
  <si>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</si>
  <si>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</si>
  <si>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</si>
  <si>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</si>
  <si>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</si>
  <si>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</si>
  <si>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</si>
  <si>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</si>
  <si>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</si>
  <si>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</si>
  <si>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</si>
  <si>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</si>
  <si>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</si>
  <si>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</si>
  <si>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</si>
  <si>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</si>
  <si>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</si>
  <si>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</si>
  <si>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</si>
  <si>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</si>
  <si>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</si>
  <si>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</si>
  <si>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</si>
  <si>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</si>
  <si>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</si>
  <si>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</si>
  <si>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</si>
  <si>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</si>
  <si>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</si>
  <si>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</si>
  <si>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</si>
  <si>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</si>
  <si>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</si>
  <si>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</si>
  <si>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</si>
  <si>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</si>
  <si>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</si>
  <si>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</si>
  <si>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</si>
  <si>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</si>
  <si>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</si>
  <si>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</si>
  <si>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</si>
  <si>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</si>
  <si>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</si>
  <si>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</si>
  <si>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</si>
  <si>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</si>
  <si>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</si>
  <si>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</si>
  <si>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</si>
  <si>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</si>
  <si>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</si>
  <si>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</si>
  <si>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</si>
  <si>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</si>
  <si>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</si>
  <si>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</si>
  <si>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</si>
  <si>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</si>
  <si>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</si>
  <si>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</si>
  <si>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</si>
  <si>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</si>
  <si>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</si>
  <si>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</si>
  <si>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</si>
  <si>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</si>
  <si>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</si>
  <si>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</si>
  <si>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</si>
  <si>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</si>
  <si>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</si>
  <si>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</si>
  <si>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</si>
  <si>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</si>
  <si>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</si>
  <si>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</si>
  <si>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</si>
  <si>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</si>
  <si>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</si>
  <si>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</si>
  <si>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</si>
  <si>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</si>
  <si>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</si>
  <si>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</si>
  <si>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</si>
  <si>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</si>
  <si>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</si>
  <si>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</si>
  <si>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</si>
  <si>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</si>
  <si>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</si>
  <si>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</si>
  <si>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</si>
  <si>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</si>
  <si>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</si>
  <si>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</si>
  <si>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</si>
  <si>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</si>
  <si>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</si>
  <si>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</si>
  <si>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</si>
  <si>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</si>
  <si>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</si>
  <si>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</si>
  <si>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</si>
  <si>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</si>
  <si>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</si>
  <si>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</si>
  <si>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</si>
  <si>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</si>
  <si>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</si>
  <si>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</si>
  <si>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</si>
  <si>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</si>
  <si>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</si>
  <si>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</si>
  <si>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</si>
  <si>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</si>
  <si>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</si>
  <si>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</si>
  <si>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</si>
  <si>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</si>
  <si>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</si>
  <si>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</si>
  <si>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</si>
  <si>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</si>
  <si>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</si>
  <si>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</si>
  <si>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</si>
  <si>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</si>
  <si>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</si>
  <si>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</si>
  <si>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</si>
  <si>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</si>
  <si>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</si>
  <si>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</si>
  <si>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</si>
  <si>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</si>
  <si>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</si>
  <si>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</si>
  <si>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</si>
  <si>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</si>
  <si>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</si>
  <si>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</si>
  <si>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</si>
  <si>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</si>
  <si>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</si>
  <si>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</si>
  <si>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</si>
  <si>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</si>
  <si>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</si>
  <si>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</si>
  <si>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</si>
  <si>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</si>
  <si>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</si>
  <si>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</si>
  <si>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</si>
  <si>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</si>
  <si>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</si>
  <si>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</si>
  <si>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</si>
  <si>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</si>
  <si>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</si>
  <si>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</si>
  <si>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</si>
  <si>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</si>
  <si>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</si>
  <si>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</si>
  <si>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</si>
  <si>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</si>
  <si>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</si>
  <si>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</si>
  <si>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</si>
  <si>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</si>
  <si>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</si>
  <si>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</si>
  <si>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</si>
  <si>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</si>
  <si>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</si>
  <si>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</si>
  <si>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</si>
  <si>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</si>
  <si>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</si>
  <si>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</si>
  <si>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</si>
  <si>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</si>
  <si>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</si>
  <si>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</si>
  <si>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</si>
  <si>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</si>
  <si>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</si>
  <si>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</si>
  <si>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</si>
  <si>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</si>
  <si>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</si>
  <si>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</si>
  <si>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</si>
  <si>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</si>
  <si>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</si>
  <si>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</si>
  <si>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</si>
  <si>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</si>
  <si>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</si>
  <si>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</si>
  <si>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</si>
  <si>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</si>
  <si>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</si>
  <si>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</si>
  <si>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</si>
  <si>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</si>
  <si>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</si>
  <si>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</si>
  <si>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</si>
  <si>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</si>
  <si>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</si>
  <si>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</si>
  <si>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</si>
  <si>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</si>
  <si>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</si>
  <si>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</si>
  <si>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</si>
  <si>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</si>
  <si>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</si>
  <si>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</si>
  <si>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</si>
  <si>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</si>
  <si>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</si>
  <si>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</si>
  <si>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</si>
  <si>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</si>
  <si>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</si>
  <si>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</si>
  <si>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</si>
  <si>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</si>
  <si>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</si>
  <si>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</si>
  <si>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</si>
  <si>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</si>
  <si>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</si>
  <si>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</si>
  <si>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</si>
  <si>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</si>
  <si>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</si>
  <si>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</si>
  <si>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</si>
  <si>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</si>
  <si>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</si>
  <si>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</si>
  <si>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</si>
  <si>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</si>
  <si>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</si>
  <si>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</si>
  <si>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</si>
  <si>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</si>
  <si>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</si>
  <si>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</si>
  <si>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</si>
  <si>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</si>
  <si>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</si>
  <si>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</si>
  <si>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</si>
  <si>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</si>
  <si>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</si>
  <si>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</si>
  <si>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</si>
  <si>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</si>
  <si>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</si>
  <si>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</si>
  <si>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</si>
  <si>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</si>
  <si>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</si>
  <si>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</si>
  <si>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</si>
  <si>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</si>
  <si>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</si>
  <si>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</si>
  <si>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</si>
  <si>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</si>
  <si>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</si>
  <si>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</si>
  <si>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</si>
  <si>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</si>
  <si>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</si>
  <si>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</si>
  <si>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</si>
  <si>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</si>
  <si>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</si>
  <si>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</si>
  <si>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</si>
  <si>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</si>
  <si>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</si>
  <si>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</si>
  <si>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</si>
  <si>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</si>
  <si>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</si>
  <si>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</si>
  <si>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</si>
  <si>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</si>
  <si>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</si>
  <si>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</si>
  <si>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</si>
  <si>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</si>
  <si>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</si>
  <si>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</si>
  <si>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</si>
  <si>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</si>
  <si>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</si>
  <si>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</si>
  <si>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</si>
  <si>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</si>
  <si>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</si>
  <si>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</si>
  <si>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</si>
  <si>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</si>
  <si>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</si>
  <si>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</si>
  <si>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</si>
  <si>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</si>
  <si>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</si>
  <si>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</si>
  <si>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</si>
  <si>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</si>
  <si>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</si>
  <si>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</si>
  <si>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</si>
  <si>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</si>
  <si>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</si>
  <si>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</si>
  <si>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</si>
  <si>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</si>
  <si>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</si>
  <si>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</si>
  <si>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</si>
  <si>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</si>
  <si>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</si>
  <si>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</si>
  <si>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</si>
  <si>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</si>
  <si>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</si>
  <si>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</si>
  <si>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</si>
  <si>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</si>
  <si>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</si>
  <si>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</si>
  <si>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</si>
  <si>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</si>
  <si>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</si>
  <si>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</si>
  <si>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</si>
  <si>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</si>
  <si>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</si>
  <si>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</si>
  <si>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</si>
  <si>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</si>
  <si>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</si>
  <si>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</si>
  <si>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</si>
  <si>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</si>
  <si>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</si>
  <si>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</si>
  <si>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</si>
  <si>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</si>
  <si>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</si>
  <si>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</si>
  <si>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</si>
  <si>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</si>
  <si>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</si>
  <si>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</si>
  <si>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</si>
  <si>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</si>
  <si>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</si>
  <si>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</si>
  <si>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</si>
  <si>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</si>
  <si>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</si>
  <si>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</si>
  <si>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</si>
  <si>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</si>
  <si>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</si>
  <si>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</si>
  <si>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</si>
  <si>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</si>
  <si>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</si>
  <si>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</si>
  <si>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</si>
  <si>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</si>
  <si>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</si>
  <si>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</si>
  <si>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</si>
  <si>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</si>
  <si>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</si>
  <si>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</si>
  <si>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</si>
  <si>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</si>
  <si>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</si>
  <si>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</si>
  <si>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</si>
  <si>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</si>
  <si>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</si>
  <si>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</si>
  <si>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</si>
  <si>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</si>
  <si>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</si>
  <si>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</si>
  <si>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</si>
  <si>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</si>
  <si>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</si>
  <si>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</si>
  <si>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</si>
  <si>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</si>
  <si>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</si>
  <si>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</si>
  <si>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</si>
  <si>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</si>
  <si>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</si>
  <si>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</si>
  <si>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</si>
  <si>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</si>
  <si>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</si>
  <si>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</si>
  <si>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</si>
  <si>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</si>
  <si>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</si>
  <si>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</si>
  <si>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</si>
  <si>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</si>
  <si>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</si>
  <si>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</si>
  <si>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</si>
  <si>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</si>
  <si>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</si>
  <si>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</si>
  <si>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</si>
  <si>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</si>
  <si>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</si>
  <si>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</si>
  <si>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</si>
  <si>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</si>
  <si>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</si>
  <si>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</si>
  <si>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</si>
  <si>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</si>
  <si>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</si>
  <si>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</si>
  <si>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</si>
  <si>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</si>
  <si>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</si>
  <si>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</si>
  <si>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</si>
  <si>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</si>
  <si>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</si>
  <si>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</si>
  <si>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</si>
  <si>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</si>
  <si>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</si>
  <si>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</si>
  <si>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</si>
  <si>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</si>
  <si>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</si>
  <si>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</si>
  <si>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</si>
  <si>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</si>
  <si>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</si>
  <si>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</si>
  <si>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</si>
  <si>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</si>
  <si>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</si>
  <si>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</si>
  <si>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</si>
  <si>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</si>
  <si>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</si>
  <si>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</si>
  <si>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</si>
  <si>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</si>
  <si>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</si>
  <si>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</si>
  <si>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</si>
  <si>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</si>
  <si>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</si>
  <si>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</si>
  <si>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</si>
  <si>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</si>
  <si>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</si>
  <si>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</si>
  <si>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</si>
  <si>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</si>
  <si>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</si>
  <si>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</si>
  <si>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</si>
  <si>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</si>
  <si>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</si>
  <si>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</si>
  <si>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</si>
  <si>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</si>
  <si>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</si>
  <si>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</si>
  <si>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</si>
  <si>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</si>
  <si>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</si>
  <si>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</si>
  <si>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</si>
  <si>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</si>
  <si>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</si>
  <si>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</si>
  <si>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</si>
  <si>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</si>
  <si>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</si>
  <si>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</si>
  <si>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</si>
  <si>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</si>
  <si>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</si>
  <si>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</si>
  <si>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</si>
  <si>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</si>
  <si>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</si>
  <si>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</si>
  <si>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</si>
  <si>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</si>
  <si>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</si>
  <si>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</si>
  <si>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</si>
  <si>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</si>
  <si>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</si>
  <si>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</si>
  <si>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</si>
  <si>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</si>
  <si>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</si>
  <si>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</si>
  <si>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</si>
  <si>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</si>
  <si>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</si>
  <si>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</si>
  <si>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</si>
  <si>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</si>
  <si>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</si>
  <si>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</si>
  <si>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</si>
  <si>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</si>
  <si>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</si>
  <si>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</si>
  <si>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</si>
  <si>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</si>
  <si>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</si>
  <si>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</si>
  <si>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</si>
  <si>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</si>
  <si>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</si>
  <si>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</si>
  <si>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</si>
  <si>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</si>
  <si>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</si>
  <si>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</si>
  <si>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</si>
  <si>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</si>
  <si>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</si>
  <si>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</si>
  <si>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</si>
  <si>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</si>
  <si>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</si>
  <si>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</si>
  <si>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</si>
  <si>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</si>
  <si>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</si>
  <si>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</si>
  <si>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</si>
  <si>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</si>
  <si>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</si>
  <si>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</si>
  <si>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</si>
  <si>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</si>
  <si>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</si>
  <si>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</si>
  <si>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</si>
  <si>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</si>
  <si>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</si>
  <si>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</si>
  <si>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</si>
  <si>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</si>
  <si>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</si>
  <si>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</si>
  <si>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</si>
  <si>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</si>
  <si>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</si>
  <si>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</si>
  <si>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</si>
  <si>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</si>
  <si>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</si>
  <si>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</si>
  <si>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</si>
  <si>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</si>
  <si>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</si>
  <si>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</si>
  <si>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</si>
  <si>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</si>
  <si>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</si>
  <si>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</si>
  <si>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</si>
  <si>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</si>
  <si>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</si>
  <si>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</si>
  <si>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</si>
  <si>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</si>
  <si>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</si>
  <si>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</si>
  <si>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</si>
  <si>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</si>
  <si>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</si>
  <si>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</si>
  <si>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</si>
  <si>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</si>
  <si>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</si>
  <si>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</si>
  <si>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</si>
  <si>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</si>
  <si>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</si>
  <si>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</si>
  <si>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</si>
  <si>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</si>
  <si>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</si>
  <si>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</si>
  <si>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</si>
  <si>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</si>
  <si>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</si>
  <si>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</si>
  <si>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</si>
  <si>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</si>
  <si>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</si>
  <si>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</si>
  <si>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</si>
  <si>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</si>
  <si>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</si>
  <si>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</si>
  <si>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</si>
  <si>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</si>
  <si>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</si>
  <si>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</si>
  <si>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</si>
  <si>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</si>
  <si>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</si>
  <si>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</si>
  <si>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</si>
  <si>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</si>
  <si>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</si>
  <si>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</si>
  <si>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</si>
  <si>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</si>
  <si>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</si>
  <si>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</si>
  <si>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</si>
  <si>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</si>
  <si>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</si>
  <si>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</si>
  <si>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</si>
  <si>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</si>
  <si>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</si>
  <si>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</si>
  <si>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</si>
  <si>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</si>
  <si>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</si>
  <si>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</si>
  <si>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</si>
  <si>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</si>
  <si>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</si>
  <si>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</si>
  <si>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</si>
  <si>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</si>
  <si>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</si>
  <si>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</si>
  <si>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</si>
  <si>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</si>
  <si>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</si>
  <si>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</si>
  <si>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</si>
  <si>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</si>
  <si>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</si>
  <si>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</si>
  <si>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</si>
  <si>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</si>
  <si>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</si>
  <si>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</si>
  <si>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</si>
  <si>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</si>
  <si>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</si>
  <si>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</si>
  <si>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</si>
  <si>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</si>
  <si>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</si>
  <si>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</si>
  <si>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</si>
  <si>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</si>
  <si>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</si>
  <si>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</si>
  <si>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</si>
  <si>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</si>
  <si>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</si>
  <si>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</si>
  <si>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</si>
  <si>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</si>
  <si>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</si>
  <si>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</si>
  <si>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</si>
  <si>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</si>
  <si>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</si>
  <si>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</si>
  <si>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</si>
  <si>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</si>
  <si>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</si>
  <si>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</si>
  <si>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</si>
  <si>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</si>
  <si>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</si>
  <si>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</si>
  <si>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</si>
  <si>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</si>
  <si>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</si>
  <si>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</si>
  <si>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</si>
  <si>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</si>
  <si>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</si>
  <si>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</si>
  <si>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</si>
  <si>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</si>
  <si>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</si>
  <si>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</si>
  <si>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</si>
  <si>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</si>
  <si>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</si>
  <si>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</si>
  <si>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</si>
  <si>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</si>
  <si>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</si>
  <si>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</si>
  <si>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</si>
  <si>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</si>
  <si>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</si>
  <si>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</si>
  <si>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</si>
  <si>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</si>
  <si>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</si>
  <si>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</si>
  <si>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</si>
  <si>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</si>
  <si>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</si>
  <si>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</si>
  <si>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</si>
  <si>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</si>
  <si>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</si>
  <si>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</si>
  <si>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</si>
  <si>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</si>
  <si>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</si>
  <si>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</si>
  <si>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</si>
  <si>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</si>
  <si>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</si>
  <si>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</si>
  <si>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</si>
  <si>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</si>
  <si>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</si>
  <si>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</si>
  <si>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</si>
  <si>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</si>
  <si>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</si>
  <si>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</si>
  <si>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</si>
  <si>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</si>
  <si>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</si>
  <si>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</si>
  <si>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</si>
  <si>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</si>
  <si>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</si>
  <si>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</si>
  <si>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</si>
  <si>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</si>
  <si>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</si>
  <si>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</si>
  <si>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</si>
  <si>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</si>
  <si>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</si>
  <si>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</si>
  <si>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</si>
  <si>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</si>
  <si>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</si>
  <si>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</si>
  <si>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</si>
  <si>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</si>
  <si>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</si>
  <si>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</si>
  <si>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</si>
  <si>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</si>
  <si>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</si>
  <si>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</si>
  <si>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</si>
  <si>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</si>
  <si>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</si>
  <si>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</si>
  <si>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</si>
  <si>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</si>
  <si>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</si>
  <si>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</si>
  <si>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</si>
  <si>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</si>
  <si>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</si>
  <si>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</si>
  <si>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</si>
  <si>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</si>
  <si>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</si>
  <si>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</si>
  <si>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</si>
  <si>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</si>
  <si>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</si>
  <si>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</si>
  <si>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</si>
  <si>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</si>
  <si>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</si>
  <si>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</si>
  <si>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</si>
  <si>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</si>
  <si>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</si>
  <si>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</si>
  <si>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</si>
  <si>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</si>
  <si>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</si>
  <si>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</si>
  <si>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</si>
  <si>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</si>
  <si>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</si>
  <si>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</si>
  <si>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</si>
  <si>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</si>
  <si>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</si>
  <si>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</si>
  <si>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</si>
  <si>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</si>
  <si>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</si>
  <si>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</si>
  <si>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</si>
  <si>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</si>
  <si>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</si>
  <si>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</si>
  <si>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</si>
  <si>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</si>
  <si>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</si>
  <si>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</si>
  <si>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</si>
  <si>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</si>
  <si>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</si>
  <si>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</si>
  <si>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</si>
  <si>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</si>
  <si>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</si>
  <si>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</si>
  <si>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</si>
  <si>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</si>
  <si>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</si>
  <si>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</si>
  <si>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</si>
  <si>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</si>
  <si>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</si>
  <si>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</si>
  <si>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</si>
  <si>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</si>
  <si>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</si>
  <si>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</si>
  <si>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</si>
  <si>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</si>
  <si>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</si>
  <si>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</si>
  <si>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</si>
  <si>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</si>
  <si>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</si>
  <si>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</si>
  <si>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</si>
  <si>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</si>
  <si>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</si>
  <si>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</si>
  <si>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</si>
  <si>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</si>
  <si>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</si>
  <si>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</si>
  <si>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</si>
  <si>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</si>
  <si>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</si>
  <si>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</si>
  <si>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</si>
  <si>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</si>
  <si>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</si>
  <si>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</si>
  <si>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</si>
  <si>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</si>
  <si>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</si>
  <si>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</si>
  <si>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</si>
  <si>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</si>
  <si>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</si>
  <si>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</si>
  <si>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</si>
  <si>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</si>
  <si>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</si>
  <si>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</si>
  <si>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</si>
  <si>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</si>
  <si>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</si>
  <si>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</si>
  <si>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</si>
  <si>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</si>
  <si>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</si>
  <si>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</si>
  <si>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</si>
  <si>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</si>
  <si>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</si>
  <si>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</si>
  <si>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</si>
  <si>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</si>
  <si>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</si>
  <si>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</si>
  <si>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</si>
  <si>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</si>
  <si>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</si>
  <si>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</si>
  <si>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</si>
  <si>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</si>
  <si>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</si>
  <si>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</si>
  <si>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</si>
  <si>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</si>
  <si>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</si>
  <si>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</si>
  <si>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</si>
  <si>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</si>
  <si>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</si>
  <si>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</si>
  <si>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</si>
  <si>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</si>
  <si>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</si>
  <si>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</si>
  <si>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</si>
  <si>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</si>
  <si>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</si>
  <si>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</si>
  <si>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</si>
  <si>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</si>
  <si>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</si>
  <si>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</si>
  <si>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</si>
  <si>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</si>
  <si>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</si>
  <si>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</si>
  <si>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</si>
  <si>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</si>
  <si>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</si>
  <si>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</si>
  <si>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</si>
  <si>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</si>
  <si>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</si>
  <si>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</si>
  <si>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</si>
  <si>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</si>
  <si>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</si>
  <si>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</si>
  <si>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</si>
  <si>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</si>
  <si>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</si>
  <si>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</si>
  <si>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</si>
  <si>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</si>
  <si>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</si>
  <si>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</si>
  <si>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</si>
  <si>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</si>
  <si>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</si>
  <si>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</si>
  <si>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</si>
  <si>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</si>
  <si>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</si>
  <si>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</si>
  <si>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</si>
  <si>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</si>
  <si>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</si>
  <si>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</si>
  <si>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</si>
  <si>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</si>
  <si>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</si>
  <si>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</si>
  <si>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</si>
  <si>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</si>
  <si>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</si>
  <si>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</si>
  <si>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</si>
  <si>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</si>
  <si>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</si>
  <si>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</si>
  <si>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</si>
  <si>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</si>
  <si>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</si>
  <si>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</si>
  <si>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</si>
  <si>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</si>
  <si>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</si>
  <si>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</si>
  <si>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</si>
  <si>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</si>
  <si>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</si>
  <si>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</si>
  <si>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</si>
  <si>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</si>
  <si>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</si>
  <si>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</si>
  <si>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</si>
  <si>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</si>
  <si>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</si>
  <si>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</si>
  <si>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</si>
  <si>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</si>
  <si>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</si>
  <si>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</si>
  <si>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</si>
  <si>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</si>
  <si>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</si>
  <si>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</si>
  <si>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</si>
  <si>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</si>
  <si>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</si>
  <si>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</si>
  <si>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</si>
  <si>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</si>
  <si>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</si>
  <si>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</si>
  <si>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</si>
  <si>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</si>
  <si>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</si>
  <si>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</si>
  <si>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</si>
  <si>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</si>
  <si>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</si>
  <si>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</si>
  <si>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</si>
  <si>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</si>
  <si>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</si>
  <si>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</si>
  <si>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</si>
  <si>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</si>
  <si>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</si>
  <si>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</si>
  <si>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</si>
  <si>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</si>
  <si>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</si>
  <si>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</si>
  <si>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</si>
  <si>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</si>
  <si>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</si>
  <si>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</si>
  <si>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</si>
  <si>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</si>
  <si>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</si>
  <si>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</si>
  <si>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</si>
  <si>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</si>
  <si>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</si>
  <si>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</si>
  <si>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</si>
  <si>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</si>
  <si>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</si>
  <si>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</si>
  <si>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</si>
  <si>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</si>
  <si>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</si>
  <si>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</si>
  <si>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</si>
  <si>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</si>
  <si>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</si>
  <si>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</si>
  <si>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</si>
  <si>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</si>
  <si>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</si>
  <si>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</si>
  <si>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</si>
  <si>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</si>
  <si>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</si>
  <si>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</si>
  <si>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</si>
  <si>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</si>
  <si>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</si>
  <si>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</si>
  <si>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</si>
  <si>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</si>
  <si>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</si>
  <si>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</si>
  <si>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</si>
  <si>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</si>
  <si>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</si>
  <si>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</si>
  <si>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</si>
  <si>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</si>
  <si>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</si>
  <si>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</si>
  <si>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</si>
  <si>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</si>
  <si>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</si>
  <si>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</si>
  <si>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</si>
  <si>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</si>
  <si>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</si>
  <si>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</si>
  <si>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</si>
  <si>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</si>
  <si>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</si>
  <si>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</si>
  <si>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</si>
  <si>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</si>
  <si>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</si>
  <si>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</si>
  <si>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</si>
  <si>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</si>
  <si>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</si>
  <si>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</si>
  <si>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</si>
  <si>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</si>
  <si>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</si>
  <si>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</si>
  <si>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</si>
  <si>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</si>
  <si>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</si>
  <si>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</si>
  <si>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</si>
  <si>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</si>
  <si>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</si>
  <si>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</si>
  <si>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</si>
  <si>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</si>
  <si>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</si>
  <si>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</si>
  <si>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</si>
  <si>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</si>
  <si>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</si>
  <si>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</si>
  <si>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</si>
  <si>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</si>
  <si>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</si>
  <si>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</si>
  <si>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</si>
  <si>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</si>
  <si>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</si>
  <si>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</si>
  <si>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</si>
  <si>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</si>
  <si>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</si>
  <si>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</si>
  <si>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</si>
  <si>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</si>
  <si>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</si>
  <si>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</si>
  <si>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</si>
  <si>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</si>
  <si>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</si>
  <si>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</si>
  <si>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</si>
  <si>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</si>
  <si>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</si>
  <si>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</si>
  <si>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</si>
  <si>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</si>
  <si>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</si>
  <si>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</si>
  <si>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</si>
  <si>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</si>
  <si>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</si>
  <si>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</si>
  <si>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</si>
  <si>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</si>
  <si>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</si>
  <si>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</si>
  <si>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</si>
  <si>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</si>
  <si>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</si>
  <si>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</si>
  <si>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</si>
  <si>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</si>
  <si>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</si>
  <si>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</si>
  <si>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</si>
  <si>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</si>
  <si>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</si>
  <si>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</si>
  <si>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</si>
  <si>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</si>
  <si>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</si>
  <si>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</si>
  <si>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</si>
  <si>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</si>
  <si>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</si>
  <si>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</si>
  <si>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</si>
  <si>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</si>
  <si>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</si>
  <si>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</si>
  <si>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</si>
  <si>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</si>
  <si>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</si>
  <si>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</si>
  <si>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</si>
  <si>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</si>
  <si>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</si>
  <si>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</si>
  <si>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</si>
  <si>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</si>
  <si>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</si>
  <si>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</si>
  <si>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</si>
  <si>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</si>
  <si>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</si>
  <si>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</si>
  <si>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</si>
  <si>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</si>
  <si>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</si>
  <si>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</si>
  <si>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</si>
  <si>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</si>
  <si>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</si>
  <si>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</si>
  <si>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</si>
  <si>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</si>
  <si>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</si>
  <si>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</si>
  <si>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</si>
  <si>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</si>
  <si>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</si>
  <si>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</si>
  <si>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</si>
  <si>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</si>
  <si>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</si>
  <si>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</si>
  <si>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</si>
  <si>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</si>
  <si>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</si>
  <si>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</si>
  <si>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</si>
  <si>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</si>
  <si>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</si>
  <si>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</si>
  <si>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</si>
  <si>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</si>
  <si>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</si>
  <si>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</si>
  <si>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</si>
  <si>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</si>
  <si>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</si>
  <si>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</si>
  <si>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</si>
  <si>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</si>
  <si>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</si>
  <si>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</si>
  <si>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</si>
  <si>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</si>
  <si>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</si>
  <si>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</si>
  <si>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</si>
  <si>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</si>
  <si>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</si>
  <si>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</si>
  <si>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</si>
  <si>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</si>
  <si>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</si>
  <si>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</si>
  <si>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</si>
  <si>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</si>
  <si>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</si>
  <si>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</si>
  <si>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</si>
  <si>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</si>
  <si>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</si>
  <si>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</si>
  <si>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</si>
  <si>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</si>
  <si>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</si>
  <si>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</si>
  <si>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</si>
  <si>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</si>
  <si>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</si>
  <si>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</si>
  <si>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</si>
  <si>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</si>
  <si>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</si>
  <si>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</si>
  <si>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</si>
  <si>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</si>
  <si>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</si>
  <si>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</si>
  <si>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</si>
  <si>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</si>
  <si>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</si>
  <si>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</si>
  <si>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</si>
  <si>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</si>
  <si>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</si>
  <si>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</si>
  <si>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</si>
  <si>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</si>
  <si>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</si>
  <si>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</si>
  <si>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</si>
  <si>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</si>
  <si>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</si>
  <si>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</si>
  <si>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</si>
  <si>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</si>
  <si>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</si>
  <si>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</si>
  <si>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</si>
  <si>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</si>
  <si>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</si>
  <si>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</si>
  <si>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</si>
  <si>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</si>
  <si>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</si>
  <si>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</si>
  <si>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</si>
  <si>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</si>
  <si>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</si>
  <si>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</si>
  <si>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</si>
  <si>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</si>
  <si>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</si>
  <si>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</si>
  <si>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</si>
  <si>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</si>
  <si>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</si>
  <si>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</si>
  <si>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</si>
  <si>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</si>
  <si>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</si>
  <si>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</si>
  <si>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</si>
  <si>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</si>
  <si>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</si>
  <si>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</si>
  <si>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</si>
  <si>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</si>
  <si>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</si>
  <si>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</si>
  <si>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</si>
  <si>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</si>
  <si>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</si>
  <si>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</si>
  <si>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</si>
  <si>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</si>
  <si>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</si>
  <si>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</si>
  <si>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</si>
  <si>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</si>
  <si>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</si>
  <si>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</si>
  <si>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</si>
  <si>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</si>
  <si>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</si>
  <si>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</si>
  <si>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</si>
  <si>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</si>
  <si>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</si>
  <si>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</si>
  <si>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</si>
  <si>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</si>
  <si>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</si>
  <si>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</si>
  <si>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</si>
  <si>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</si>
  <si>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</si>
  <si>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</si>
  <si>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</si>
  <si>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</si>
  <si>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</si>
  <si>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</si>
  <si>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</si>
  <si>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</si>
  <si>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</si>
  <si>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</si>
  <si>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</si>
  <si>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</si>
  <si>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</si>
  <si>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</si>
  <si>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</si>
  <si>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</si>
  <si>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</si>
  <si>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</si>
  <si>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</si>
  <si>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</si>
  <si>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</si>
  <si>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</si>
  <si>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</si>
  <si>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</si>
  <si>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</si>
  <si>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</si>
  <si>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</si>
  <si>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</si>
  <si>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</si>
  <si>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</si>
  <si>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</si>
  <si>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</si>
  <si>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</si>
  <si>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</si>
  <si>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</si>
  <si>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</si>
  <si>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</si>
  <si>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</si>
  <si>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</si>
  <si>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</si>
  <si>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</si>
  <si>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</si>
  <si>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</si>
  <si>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</si>
  <si>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</si>
  <si>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</si>
  <si>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</si>
  <si>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</si>
  <si>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</si>
  <si>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</si>
  <si>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</si>
  <si>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</si>
  <si>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</si>
  <si>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</si>
  <si>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</si>
  <si>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</si>
  <si>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</si>
  <si>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</si>
  <si>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</si>
  <si>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</si>
  <si>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</si>
  <si>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</si>
  <si>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</si>
  <si>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</si>
  <si>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</si>
  <si>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</si>
  <si>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</si>
  <si>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</si>
  <si>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</si>
  <si>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</si>
  <si>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</si>
  <si>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</si>
  <si>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</si>
  <si>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</si>
  <si>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</si>
  <si>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</si>
  <si>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</si>
  <si>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</si>
  <si>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</si>
  <si>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</si>
  <si>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</si>
  <si>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</si>
  <si>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</si>
  <si>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</si>
  <si>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</si>
  <si>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</si>
  <si>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</si>
  <si>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</si>
  <si>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</si>
  <si>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</si>
  <si>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</si>
  <si>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</si>
  <si>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</si>
  <si>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</si>
  <si>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</si>
  <si>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</si>
  <si>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</si>
  <si>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</si>
  <si>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</si>
  <si>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</si>
  <si>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</si>
  <si>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</si>
  <si>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</si>
  <si>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</si>
  <si>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</si>
  <si>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</si>
  <si>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</si>
  <si>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</si>
  <si>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</si>
  <si>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</si>
  <si>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</si>
  <si>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</si>
  <si>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</si>
  <si>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</si>
  <si>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</si>
  <si>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</si>
  <si>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</si>
  <si>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</si>
  <si>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</si>
  <si>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</si>
  <si>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</si>
  <si>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</si>
  <si>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</si>
  <si>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</si>
  <si>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</si>
  <si>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</si>
  <si>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</si>
  <si>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</si>
  <si>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</si>
  <si>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</si>
  <si>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</si>
  <si>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</si>
  <si>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</si>
  <si>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</si>
  <si>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</si>
  <si>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</si>
  <si>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</si>
  <si>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</si>
  <si>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</si>
  <si>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</si>
  <si>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</si>
  <si>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</si>
  <si>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</si>
  <si>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</si>
  <si>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</si>
  <si>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</si>
  <si>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</si>
  <si>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</si>
  <si>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</si>
  <si>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</si>
  <si>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</si>
  <si>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</si>
  <si>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</si>
  <si>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</si>
  <si>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</si>
  <si>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</si>
  <si>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</si>
  <si>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</si>
  <si>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</si>
  <si>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</si>
  <si>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</si>
  <si>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</si>
  <si>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</si>
  <si>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</si>
  <si>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</si>
  <si>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</si>
  <si>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</si>
  <si>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</si>
  <si>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</si>
  <si>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</si>
  <si>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</si>
  <si>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</si>
  <si>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</si>
  <si>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</si>
  <si>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</si>
  <si>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</si>
  <si>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</si>
  <si>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</si>
  <si>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</si>
  <si>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</si>
  <si>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</si>
  <si>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</si>
  <si>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</si>
  <si>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</si>
  <si>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</si>
  <si>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</si>
  <si>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</si>
  <si>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</si>
  <si>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</si>
  <si>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</si>
  <si>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</si>
  <si>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</si>
  <si>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</si>
  <si>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</si>
  <si>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</si>
  <si>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</si>
  <si>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</si>
  <si>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</si>
  <si>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</si>
  <si>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</si>
  <si>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</si>
  <si>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</si>
  <si>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</si>
  <si>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</si>
  <si>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</si>
  <si>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</si>
  <si>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</si>
  <si>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</si>
  <si>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</si>
  <si>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</si>
  <si>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</si>
  <si>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</si>
  <si>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</si>
  <si>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</si>
  <si>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</si>
  <si>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</si>
  <si>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</si>
  <si>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</si>
  <si>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</si>
  <si>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</si>
  <si>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</si>
  <si>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</si>
  <si>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</si>
  <si>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</si>
  <si>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</si>
  <si>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</si>
  <si>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</si>
  <si>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</si>
  <si>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</si>
  <si>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</si>
  <si>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</si>
  <si>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</si>
  <si>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</si>
  <si>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</si>
  <si>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</si>
  <si>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</si>
  <si>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</si>
  <si>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</si>
  <si>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</si>
  <si>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</si>
  <si>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</si>
  <si>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</si>
  <si>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</si>
  <si>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</si>
  <si>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</si>
  <si>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</si>
  <si>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</si>
  <si>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</si>
  <si>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</si>
  <si>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</si>
  <si>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</si>
  <si>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</si>
  <si>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</si>
  <si>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</si>
  <si>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</si>
  <si>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</si>
  <si>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</si>
  <si>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</si>
  <si>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</si>
  <si>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</si>
  <si>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</si>
  <si>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</si>
  <si>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</si>
  <si>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</si>
  <si>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</si>
  <si>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</si>
  <si>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</si>
  <si>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</si>
  <si>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</si>
  <si>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</si>
  <si>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</si>
  <si>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</si>
  <si>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</si>
  <si>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</si>
  <si>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</si>
  <si>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</si>
  <si>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</si>
  <si>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</si>
  <si>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</si>
  <si>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</si>
  <si>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</si>
  <si>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</si>
  <si>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</si>
  <si>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</si>
  <si>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</si>
  <si>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</si>
  <si>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</si>
  <si>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</si>
  <si>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</si>
  <si>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</si>
  <si>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</si>
  <si>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</si>
  <si>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</si>
  <si>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</si>
  <si>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</si>
  <si>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</si>
  <si>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</si>
  <si>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</si>
  <si>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</si>
  <si>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</si>
  <si>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</si>
  <si>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</si>
  <si>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</si>
  <si>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</si>
  <si>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</si>
  <si>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</si>
  <si>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</si>
  <si>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</si>
  <si>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</si>
  <si>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</si>
  <si>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</si>
  <si>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</si>
  <si>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</si>
  <si>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</si>
  <si>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</si>
  <si>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</si>
  <si>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</si>
  <si>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</si>
  <si>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</si>
  <si>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</si>
  <si>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</si>
  <si>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</si>
  <si>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</si>
  <si>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</si>
  <si>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</si>
  <si>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</si>
  <si>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</si>
  <si>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</si>
  <si>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</si>
  <si>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</si>
  <si>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</si>
  <si>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</si>
  <si>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</si>
  <si>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</si>
  <si>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</si>
  <si>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</si>
  <si>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</si>
  <si>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</si>
  <si>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</si>
  <si>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</si>
  <si>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</si>
  <si>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</si>
  <si>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</si>
  <si>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</si>
  <si>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</si>
  <si>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</si>
  <si>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</si>
  <si>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</si>
  <si>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</si>
  <si>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</si>
  <si>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</si>
  <si>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</si>
  <si>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</si>
  <si>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</si>
  <si>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</si>
  <si>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</si>
  <si>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</si>
  <si>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</si>
  <si>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</si>
  <si>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</si>
  <si>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</si>
  <si>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</si>
  <si>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</si>
  <si>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</si>
  <si>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</si>
  <si>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</si>
  <si>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</si>
  <si>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</si>
  <si>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</si>
  <si>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</si>
  <si>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</si>
  <si>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</si>
  <si>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</si>
  <si>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</si>
  <si>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</si>
  <si>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</si>
  <si>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</si>
  <si>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</si>
  <si>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</si>
  <si>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</si>
  <si>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</si>
  <si>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</si>
  <si>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</si>
  <si>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</si>
  <si>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</si>
  <si>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</si>
  <si>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</si>
  <si>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</si>
  <si>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</si>
  <si>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</si>
  <si>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</si>
  <si>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</si>
  <si>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</si>
  <si>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</si>
  <si>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</si>
  <si>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</si>
  <si>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</si>
  <si>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</si>
  <si>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</si>
  <si>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</si>
  <si>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</si>
  <si>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</si>
  <si>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</si>
  <si>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</si>
  <si>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</si>
  <si>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</si>
  <si>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</si>
  <si>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</si>
  <si>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</si>
  <si>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</si>
  <si>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</si>
  <si>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</si>
  <si>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</si>
  <si>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</si>
  <si>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</si>
  <si>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</si>
  <si>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</si>
  <si>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</si>
  <si>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</si>
  <si>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</si>
  <si>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</si>
  <si>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</si>
  <si>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</si>
  <si>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</si>
  <si>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</si>
  <si>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</si>
  <si>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</si>
  <si>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</si>
  <si>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</si>
  <si>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</si>
  <si>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</si>
  <si>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</si>
  <si>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</si>
  <si>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</si>
  <si>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</si>
  <si>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</si>
  <si>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</si>
  <si>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</si>
  <si>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</si>
  <si>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</si>
  <si>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</si>
  <si>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</si>
  <si>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</si>
  <si>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</si>
  <si>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</si>
  <si>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</si>
  <si>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</si>
  <si>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</si>
  <si>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</si>
  <si>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</si>
  <si>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</si>
  <si>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</si>
  <si>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</si>
  <si>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</si>
  <si>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</si>
  <si>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</si>
  <si>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</si>
  <si>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</si>
  <si>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</si>
  <si>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</si>
  <si>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</si>
  <si>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</si>
  <si>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</si>
  <si>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</si>
  <si>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</si>
  <si>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</si>
  <si>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</si>
  <si>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</si>
  <si>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</si>
  <si>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</si>
  <si>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</si>
  <si>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</si>
  <si>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</si>
  <si>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</si>
  <si>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</si>
  <si>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</si>
  <si>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</si>
  <si>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</si>
  <si>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</si>
  <si>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</si>
  <si>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</si>
  <si>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</si>
  <si>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</si>
  <si>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</si>
  <si>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</si>
  <si>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</si>
  <si>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</si>
  <si>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</si>
  <si>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</si>
  <si>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</si>
  <si>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</si>
  <si>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</si>
  <si>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</si>
  <si>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</si>
  <si>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</si>
  <si>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</si>
  <si>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</si>
  <si>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</si>
  <si>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</si>
  <si>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</si>
  <si>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</si>
  <si>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</si>
  <si>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</si>
  <si>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</si>
  <si>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</si>
  <si>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</si>
  <si>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</si>
  <si>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</si>
  <si>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</si>
  <si>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</si>
  <si>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</si>
  <si>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</si>
  <si>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</si>
  <si>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</si>
  <si>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</si>
  <si>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</si>
  <si>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</si>
  <si>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</si>
  <si>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</si>
  <si>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</si>
  <si>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</si>
  <si>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</si>
  <si>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</si>
  <si>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</si>
  <si>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</si>
  <si>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</si>
  <si>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</si>
  <si>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</si>
  <si>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</si>
  <si>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</si>
  <si>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</si>
  <si>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</si>
  <si>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</si>
  <si>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</si>
  <si>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</si>
  <si>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</si>
  <si>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</si>
  <si>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</si>
  <si>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</si>
  <si>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</si>
  <si>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</si>
  <si>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</si>
  <si>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</si>
  <si>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</si>
  <si>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</si>
  <si>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</si>
  <si>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</si>
  <si>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</si>
  <si>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</si>
  <si>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</si>
  <si>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</si>
  <si>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</si>
  <si>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</si>
  <si>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</si>
  <si>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</si>
  <si>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</si>
  <si>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</si>
  <si>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</si>
  <si>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</si>
  <si>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</si>
  <si>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</si>
  <si>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</si>
  <si>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</si>
  <si>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</si>
  <si>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</si>
  <si>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</si>
  <si>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</si>
  <si>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</si>
  <si>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</si>
  <si>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</si>
  <si>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</si>
  <si>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</si>
  <si>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</si>
  <si>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</si>
  <si>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</si>
  <si>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</si>
  <si>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</si>
  <si>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</si>
  <si>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</si>
  <si>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</si>
  <si>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</si>
  <si>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</si>
  <si>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</si>
  <si>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</si>
  <si>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</si>
  <si>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</si>
  <si>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</si>
  <si>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</si>
  <si>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</si>
  <si>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</si>
  <si>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</si>
  <si>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</si>
  <si>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</si>
  <si>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</si>
  <si>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</si>
  <si>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</si>
  <si>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</si>
  <si>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</si>
  <si>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</si>
  <si>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</si>
  <si>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</si>
  <si>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</si>
  <si>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</si>
  <si>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</si>
  <si>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</si>
  <si>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</si>
  <si>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</si>
  <si>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</si>
  <si>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</si>
  <si>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</si>
  <si>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</si>
  <si>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</si>
  <si>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</si>
  <si>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</si>
  <si>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</si>
  <si>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</si>
  <si>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</si>
  <si>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</si>
  <si>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</si>
  <si>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</si>
  <si>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</si>
  <si>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</si>
  <si>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</si>
  <si>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</si>
  <si>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</si>
  <si>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</si>
  <si>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</si>
  <si>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</si>
  <si>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</si>
  <si>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</si>
  <si>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</si>
  <si>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</si>
  <si>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</si>
  <si>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</si>
  <si>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</si>
  <si>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</si>
  <si>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</si>
  <si>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</si>
  <si>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</si>
  <si>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</si>
  <si>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</si>
  <si>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</si>
  <si>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</si>
  <si>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</si>
  <si>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</si>
  <si>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</si>
  <si>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</si>
  <si>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</si>
  <si>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</si>
  <si>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</si>
  <si>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</si>
  <si>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</si>
  <si>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</si>
  <si>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</si>
  <si>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</si>
  <si>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</si>
  <si>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</si>
  <si>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</si>
  <si>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</si>
  <si>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</si>
  <si>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</si>
  <si>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</si>
  <si>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</si>
  <si>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</si>
  <si>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</si>
  <si>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</si>
  <si>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</si>
  <si>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</si>
  <si>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</si>
  <si>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</si>
  <si>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</si>
  <si>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</si>
  <si>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</si>
  <si>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</si>
  <si>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</si>
  <si>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</si>
  <si>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</si>
  <si>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</si>
  <si>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</si>
  <si>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</si>
  <si>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</si>
  <si>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</si>
  <si>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</si>
  <si>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</si>
  <si>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</si>
  <si>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</si>
  <si>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</si>
  <si>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</si>
  <si>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</si>
  <si>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</si>
  <si>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</si>
  <si>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</si>
  <si>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</si>
  <si>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</si>
  <si>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</si>
  <si>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</si>
  <si>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</si>
  <si>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</si>
  <si>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</si>
  <si>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</si>
  <si>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</si>
  <si>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</si>
  <si>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</si>
  <si>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</si>
  <si>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</si>
  <si>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</si>
  <si>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</si>
  <si>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</si>
  <si>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</si>
  <si>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</si>
  <si>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</si>
  <si>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</si>
  <si>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</si>
  <si>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</si>
  <si>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</si>
  <si>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</si>
  <si>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</si>
  <si>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</si>
  <si>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</si>
  <si>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</si>
  <si>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</si>
  <si>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</si>
  <si>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</si>
  <si>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</si>
  <si>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</si>
  <si>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</si>
  <si>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</si>
  <si>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</si>
  <si>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</si>
  <si>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</si>
  <si>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</si>
  <si>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</si>
  <si>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</si>
  <si>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</si>
  <si>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</si>
  <si>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</si>
  <si>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</si>
  <si>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</si>
  <si>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</si>
  <si>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</si>
  <si>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</si>
  <si>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</si>
  <si>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</si>
  <si>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</si>
  <si>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</si>
  <si>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</si>
  <si>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</si>
  <si>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</si>
  <si>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</si>
  <si>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</si>
  <si>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</si>
  <si>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</si>
  <si>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</si>
  <si>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</si>
  <si>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</si>
  <si>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</si>
  <si>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</si>
  <si>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</si>
  <si>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</si>
  <si>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</si>
  <si>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</si>
  <si>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</si>
  <si>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</si>
  <si>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</si>
  <si>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</si>
  <si>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</si>
  <si>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</si>
  <si>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</si>
  <si>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</si>
  <si>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</si>
  <si>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</si>
  <si>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</si>
  <si>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</si>
  <si>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</si>
  <si>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</si>
  <si>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</si>
  <si>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</si>
  <si>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</si>
  <si>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</si>
  <si>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</si>
  <si>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</si>
  <si>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</si>
  <si>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</si>
  <si>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</si>
  <si>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</si>
  <si>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</si>
  <si>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</si>
  <si>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</si>
  <si>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</si>
  <si>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</si>
  <si>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</si>
  <si>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</si>
  <si>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</si>
  <si>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</si>
  <si>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</si>
  <si>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</si>
  <si>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</si>
  <si>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</si>
  <si>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</si>
  <si>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</si>
  <si>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</si>
  <si>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</si>
  <si>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</si>
  <si>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</si>
  <si>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</si>
  <si>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</si>
  <si>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</si>
  <si>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</si>
  <si>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</si>
  <si>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</si>
  <si>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</si>
  <si>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</si>
  <si>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</si>
  <si>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</si>
  <si>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</si>
  <si>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</si>
  <si>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</si>
  <si>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</si>
  <si>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</si>
  <si>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</si>
  <si>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</si>
  <si>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</si>
  <si>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</si>
  <si>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</si>
  <si>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</si>
  <si>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</si>
  <si>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</si>
  <si>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</si>
  <si>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</si>
  <si>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</si>
  <si>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</si>
  <si>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</si>
  <si>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</si>
  <si>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</si>
  <si>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</si>
  <si>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</si>
  <si>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</si>
  <si>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</si>
  <si>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</si>
  <si>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</si>
  <si>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</si>
  <si>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</si>
  <si>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</si>
  <si>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</si>
  <si>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</si>
  <si>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</si>
  <si>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</si>
  <si>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</si>
  <si>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</si>
  <si>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</si>
  <si>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</si>
  <si>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</si>
  <si>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</si>
  <si>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</si>
  <si>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</si>
  <si>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</si>
  <si>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</si>
  <si>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</si>
  <si>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</si>
  <si>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</si>
  <si>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</si>
  <si>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</si>
  <si>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</si>
  <si>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</si>
  <si>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</si>
  <si>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</si>
  <si>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</si>
  <si>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</si>
  <si>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</si>
  <si>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</si>
  <si>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</si>
  <si>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</si>
  <si>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</si>
  <si>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</si>
  <si>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</si>
  <si>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</si>
  <si>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</si>
  <si>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</si>
  <si>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</si>
  <si>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</si>
  <si>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</si>
  <si>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</si>
  <si>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</si>
  <si>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</si>
  <si>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</si>
  <si>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</si>
  <si>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</si>
  <si>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</si>
  <si>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</si>
  <si>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</si>
  <si>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</si>
  <si>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</si>
  <si>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</si>
  <si>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</si>
  <si>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</si>
  <si>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</si>
  <si>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</si>
  <si>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</si>
  <si>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</si>
  <si>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</si>
  <si>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</si>
  <si>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</si>
  <si>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</si>
  <si>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</si>
  <si>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</si>
  <si>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</si>
  <si>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</si>
  <si>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</si>
  <si>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</si>
  <si>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</si>
  <si>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</si>
  <si>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</si>
  <si>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</si>
  <si>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</si>
  <si>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</si>
  <si>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</si>
  <si>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</si>
  <si>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</si>
  <si>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</si>
  <si>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</si>
  <si>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</si>
  <si>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</si>
  <si>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</si>
  <si>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</si>
  <si>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</si>
  <si>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</si>
  <si>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</si>
  <si>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</si>
  <si>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</si>
  <si>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</si>
  <si>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</si>
  <si>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</si>
  <si>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</si>
  <si>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</si>
  <si>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</si>
  <si>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</si>
  <si>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</si>
  <si>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</si>
  <si>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</si>
  <si>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</si>
  <si>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</si>
  <si>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</si>
  <si>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</si>
  <si>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</si>
  <si>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</si>
  <si>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</si>
  <si>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</si>
  <si>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</si>
  <si>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</si>
  <si>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</si>
  <si>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</si>
  <si>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</si>
  <si>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</si>
  <si>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</si>
  <si>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</si>
  <si>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</si>
  <si>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</si>
  <si>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</si>
  <si>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</si>
  <si>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</si>
  <si>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</si>
  <si>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</si>
  <si>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</si>
  <si>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</si>
  <si>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</si>
  <si>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</si>
  <si>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</si>
  <si>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</si>
  <si>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</si>
  <si>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</si>
  <si>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</si>
  <si>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</si>
  <si>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</si>
  <si>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</si>
  <si>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</si>
  <si>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</si>
  <si>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</si>
  <si>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</si>
  <si>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</si>
  <si>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</si>
  <si>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</si>
  <si>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</si>
  <si>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</si>
  <si>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</si>
  <si>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</si>
  <si>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</si>
  <si>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</si>
  <si>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</si>
  <si>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</si>
  <si>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</si>
  <si>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</si>
  <si>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</si>
  <si>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</si>
  <si>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</si>
  <si>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</si>
  <si>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</si>
  <si>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</si>
  <si>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</si>
  <si>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</si>
  <si>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</si>
  <si>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</si>
  <si>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</si>
  <si>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</si>
  <si>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</si>
  <si>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</si>
  <si>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</si>
  <si>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</si>
  <si>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</si>
  <si>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</si>
  <si>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</si>
  <si>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</si>
  <si>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</si>
  <si>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</si>
  <si>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</si>
  <si>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</si>
  <si>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</si>
  <si>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</si>
  <si>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</si>
  <si>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</si>
  <si>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</si>
  <si>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</si>
  <si>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</si>
  <si>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</si>
  <si>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</si>
  <si>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</si>
  <si>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</si>
  <si>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</si>
  <si>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</si>
  <si>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</si>
  <si>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</si>
  <si>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</si>
  <si>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</si>
  <si>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</si>
  <si>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</si>
  <si>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</si>
  <si>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</si>
  <si>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</si>
  <si>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</si>
  <si>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</si>
  <si>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</si>
  <si>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</si>
  <si>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</si>
  <si>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</si>
  <si>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</si>
  <si>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</si>
  <si>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</si>
  <si>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</si>
  <si>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</si>
  <si>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</si>
  <si>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</si>
  <si>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</si>
  <si>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</si>
  <si>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</si>
  <si>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</si>
  <si>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</si>
  <si>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</si>
  <si>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</si>
  <si>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</si>
  <si>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</si>
  <si>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</si>
  <si>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</si>
  <si>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</si>
  <si>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</si>
  <si>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</si>
  <si>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</si>
  <si>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</si>
  <si>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</si>
  <si>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</si>
  <si>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</si>
  <si>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</si>
  <si>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</si>
  <si>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</si>
  <si>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</si>
  <si>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</si>
  <si>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</si>
  <si>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</si>
  <si>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</si>
  <si>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</si>
  <si>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</si>
  <si>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</si>
  <si>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</si>
  <si>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</si>
  <si>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</si>
  <si>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</si>
  <si>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</si>
  <si>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</si>
  <si>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</si>
  <si>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</si>
  <si>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</si>
  <si>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</si>
  <si>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</si>
  <si>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</si>
  <si>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</si>
  <si>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</si>
  <si>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</si>
  <si>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</si>
  <si>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</si>
  <si>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</si>
  <si>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</si>
  <si>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</si>
  <si>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</si>
  <si>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</si>
  <si>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</si>
  <si>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</si>
  <si>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</si>
  <si>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</si>
  <si>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</si>
  <si>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</si>
  <si>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</si>
  <si>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</si>
  <si>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</si>
  <si>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</si>
  <si>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</si>
  <si>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</si>
  <si>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</si>
  <si>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</si>
  <si>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</si>
  <si>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</si>
  <si>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</si>
  <si>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</si>
  <si>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</si>
  <si>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</si>
  <si>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</si>
  <si>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</si>
  <si>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</si>
  <si>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</si>
  <si>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</si>
  <si>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</si>
  <si>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</si>
  <si>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</si>
  <si>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</si>
  <si>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</si>
  <si>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</si>
  <si>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</si>
  <si>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</si>
  <si>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</si>
  <si>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</si>
  <si>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</si>
  <si>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</si>
  <si>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</si>
  <si>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</si>
  <si>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</si>
  <si>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</si>
  <si>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</si>
  <si>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</si>
  <si>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</si>
  <si>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</si>
  <si>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</si>
  <si>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</si>
  <si>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</si>
  <si>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</si>
  <si>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</si>
  <si>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</si>
  <si>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</si>
  <si>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</si>
  <si>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</si>
  <si>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</si>
  <si>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</si>
  <si>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</si>
  <si>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</si>
  <si>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</si>
  <si>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</si>
  <si>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</si>
  <si>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</si>
  <si>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</si>
  <si>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</si>
  <si>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</si>
  <si>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</si>
  <si>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</si>
  <si>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</si>
  <si>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</si>
  <si>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</si>
  <si>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</si>
  <si>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</si>
  <si>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</si>
  <si>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</si>
  <si>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</si>
  <si>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</si>
  <si>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</si>
  <si>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</si>
  <si>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</si>
  <si>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</si>
  <si>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</si>
  <si>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</si>
  <si>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</si>
  <si>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</si>
  <si>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</si>
  <si>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</si>
  <si>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</si>
  <si>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</si>
  <si>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</si>
  <si>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</si>
  <si>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</si>
  <si>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</si>
  <si>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</si>
  <si>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</si>
  <si>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</si>
  <si>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</si>
  <si>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</si>
  <si>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</si>
  <si>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</si>
  <si>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</si>
  <si>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</si>
  <si>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</si>
  <si>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</si>
  <si>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</si>
  <si>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</si>
  <si>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</si>
  <si>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</si>
  <si>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</si>
  <si>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</si>
  <si>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</si>
  <si>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</si>
  <si>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</si>
  <si>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</si>
  <si>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</si>
  <si>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</si>
  <si>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</si>
  <si>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</si>
  <si>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</si>
  <si>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</si>
  <si>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</si>
  <si>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</si>
  <si>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</si>
  <si>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</si>
  <si>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</si>
  <si>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</si>
  <si>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</si>
  <si>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</si>
  <si>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</si>
  <si>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</si>
  <si>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</si>
  <si>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</si>
  <si>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</si>
  <si>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</si>
  <si>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</si>
  <si>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</si>
  <si>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</si>
  <si>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</si>
  <si>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</si>
  <si>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</si>
  <si>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</si>
  <si>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</si>
  <si>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</si>
  <si>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</si>
  <si>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</si>
  <si>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</si>
  <si>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</si>
  <si>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</si>
  <si>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</si>
  <si>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</si>
  <si>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</si>
  <si>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</si>
  <si>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</si>
  <si>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</si>
  <si>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</si>
  <si>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</si>
  <si>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</si>
  <si>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</si>
  <si>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</si>
  <si>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</si>
  <si>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</si>
  <si>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</si>
  <si>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</si>
  <si>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</si>
  <si>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</si>
  <si>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</si>
  <si>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</si>
  <si>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</si>
  <si>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</si>
  <si>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</si>
  <si>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</si>
  <si>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</si>
  <si>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</si>
  <si>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</si>
  <si>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</si>
  <si>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</si>
  <si>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</si>
  <si>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</si>
  <si>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</si>
  <si>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</si>
  <si>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</si>
  <si>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</si>
  <si>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</si>
  <si>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</si>
  <si>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</si>
  <si>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</si>
  <si>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</si>
  <si>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</si>
  <si>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</si>
  <si>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</si>
  <si>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</si>
  <si>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</si>
  <si>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</si>
  <si>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</si>
  <si>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</si>
  <si>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</si>
  <si>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</si>
  <si>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</si>
  <si>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</si>
  <si>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</si>
  <si>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</si>
  <si>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</si>
  <si>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</si>
  <si>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</si>
  <si>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</si>
  <si>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</si>
  <si>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</si>
  <si>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</si>
  <si>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</si>
  <si>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</si>
  <si>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</si>
  <si>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</si>
  <si>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</si>
  <si>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</si>
  <si>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</si>
  <si>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</si>
  <si>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</si>
  <si>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</si>
  <si>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</si>
  <si>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</si>
  <si>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</si>
  <si>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</si>
  <si>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</si>
  <si>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</si>
  <si>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</si>
  <si>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</si>
  <si>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</si>
  <si>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</si>
  <si>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</si>
  <si>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</si>
  <si>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</si>
  <si>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</si>
  <si>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</si>
  <si>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</si>
  <si>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</si>
  <si>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</si>
  <si>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</si>
  <si>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</si>
  <si>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</si>
  <si>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</si>
  <si>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</si>
  <si>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</si>
  <si>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</si>
  <si>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</si>
  <si>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</si>
  <si>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</si>
  <si>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</si>
  <si>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</si>
  <si>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</si>
  <si>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</si>
  <si>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</si>
  <si>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</si>
  <si>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</si>
  <si>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</si>
  <si>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</si>
  <si>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</si>
  <si>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</si>
  <si>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</si>
  <si>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</si>
  <si>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</si>
  <si>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</si>
  <si>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</si>
  <si>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</si>
  <si>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</si>
  <si>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</si>
  <si>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</si>
  <si>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</si>
  <si>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</si>
  <si>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</si>
  <si>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</si>
  <si>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</si>
  <si>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</si>
  <si>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</si>
  <si>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</si>
  <si>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</si>
  <si>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</si>
  <si>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</si>
  <si>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</si>
  <si>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</si>
  <si>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</si>
  <si>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</si>
  <si>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</si>
  <si>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</si>
  <si>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</si>
  <si>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</si>
  <si>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</si>
  <si>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</si>
  <si>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</si>
  <si>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</si>
  <si>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</si>
  <si>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</si>
  <si>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</si>
  <si>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</si>
  <si>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</si>
  <si>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</si>
  <si>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</si>
  <si>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</si>
  <si>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</si>
  <si>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</si>
  <si>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</si>
  <si>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</si>
  <si>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</si>
  <si>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</si>
  <si>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</si>
  <si>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</si>
  <si>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</si>
  <si>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</si>
  <si>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</si>
  <si>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</si>
  <si>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</si>
  <si>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</si>
  <si>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</si>
  <si>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</si>
  <si>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</si>
  <si>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</si>
  <si>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</si>
  <si>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</si>
  <si>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</si>
  <si>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</si>
  <si>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</si>
  <si>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</si>
  <si>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</si>
  <si>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</si>
  <si>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</si>
  <si>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</si>
  <si>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</si>
  <si>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</si>
  <si>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</si>
  <si>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</si>
  <si>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</si>
  <si>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</si>
  <si>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</si>
  <si>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</si>
  <si>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</si>
  <si>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</si>
  <si>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</si>
  <si>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</si>
  <si>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</si>
  <si>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</si>
  <si>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</si>
  <si>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</si>
  <si>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</si>
  <si>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</si>
  <si>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</si>
  <si>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</si>
  <si>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</si>
  <si>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</si>
  <si>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</si>
  <si>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</si>
  <si>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</si>
  <si>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</si>
  <si>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</si>
  <si>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</si>
  <si>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</si>
  <si>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</si>
  <si>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</si>
  <si>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</si>
  <si>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</si>
  <si>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</si>
  <si>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</si>
  <si>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</si>
  <si>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</si>
  <si>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</si>
  <si>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</si>
  <si>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</si>
  <si>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</si>
  <si>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</si>
  <si>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</si>
  <si>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</si>
  <si>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</si>
  <si>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</si>
  <si>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</si>
  <si>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</si>
  <si>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</si>
  <si>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</si>
  <si>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</si>
  <si>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</si>
  <si>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</si>
  <si>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</si>
  <si>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</si>
  <si>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</si>
  <si>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</si>
  <si>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</si>
  <si>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</si>
  <si>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</si>
  <si>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</si>
  <si>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</si>
  <si>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</si>
  <si>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</si>
  <si>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</si>
  <si>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</si>
  <si>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</si>
  <si>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</si>
  <si>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</si>
  <si>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</si>
  <si>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</si>
  <si>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</si>
  <si>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</si>
  <si>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</si>
  <si>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</si>
  <si>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</si>
  <si>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</si>
  <si>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</si>
  <si>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</si>
  <si>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</si>
  <si>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</si>
  <si>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</si>
  <si>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</si>
  <si>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</si>
  <si>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</si>
  <si>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</si>
  <si>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</si>
  <si>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</si>
  <si>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</si>
  <si>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</si>
  <si>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</si>
  <si>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</si>
  <si>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</si>
  <si>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</si>
  <si>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</si>
  <si>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</si>
  <si>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</si>
  <si>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</si>
  <si>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</si>
  <si>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</si>
  <si>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</si>
  <si>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</si>
  <si>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</si>
  <si>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</si>
  <si>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</si>
  <si>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</si>
  <si>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</si>
  <si>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</si>
  <si>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</si>
  <si>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</si>
  <si>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</si>
  <si>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</si>
  <si>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</si>
  <si>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</si>
  <si>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</si>
  <si>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</si>
  <si>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</si>
  <si>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</si>
  <si>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</si>
  <si>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</si>
  <si>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</si>
  <si>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</si>
  <si>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</si>
  <si>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</si>
  <si>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</si>
  <si>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</si>
  <si>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</si>
  <si>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</si>
  <si>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</si>
  <si>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</si>
  <si>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</si>
  <si>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</si>
  <si>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</si>
  <si>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</si>
  <si>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</si>
  <si>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</si>
  <si>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</si>
  <si>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</si>
  <si>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</si>
  <si>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</si>
  <si>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</si>
  <si>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</si>
  <si>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</si>
  <si>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</si>
  <si>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</si>
  <si>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</si>
  <si>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</si>
  <si>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</si>
  <si>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</si>
  <si>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</si>
  <si>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</si>
  <si>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</si>
  <si>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</si>
  <si>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</si>
  <si>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</si>
  <si>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</si>
  <si>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</si>
  <si>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</si>
  <si>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</si>
  <si>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</si>
  <si>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</si>
  <si>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</si>
  <si>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</si>
  <si>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</si>
  <si>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</si>
  <si>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</si>
  <si>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</si>
  <si>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</si>
  <si>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</si>
  <si>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</si>
  <si>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</si>
  <si>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</si>
  <si>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</si>
  <si>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</si>
  <si>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</si>
  <si>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</si>
  <si>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</si>
  <si>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</si>
  <si>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</si>
  <si>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</si>
  <si>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</si>
  <si>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</si>
  <si>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</si>
  <si>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</si>
  <si>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</si>
  <si>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</si>
  <si>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</si>
  <si>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</si>
  <si>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</si>
  <si>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</si>
  <si>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</si>
  <si>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</si>
  <si>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</si>
  <si>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</si>
  <si>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</si>
  <si>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</si>
  <si>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</si>
  <si>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</si>
  <si>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</si>
  <si>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</si>
  <si>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</si>
  <si>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</si>
  <si>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</si>
  <si>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</si>
  <si>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</si>
  <si>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</si>
  <si>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</si>
  <si>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</si>
  <si>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</si>
  <si>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</si>
  <si>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</si>
  <si>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</si>
  <si>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</si>
  <si>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</si>
  <si>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</si>
  <si>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</si>
  <si>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</si>
  <si>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</si>
  <si>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</si>
  <si>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</si>
  <si>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</si>
  <si>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</si>
  <si>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</si>
  <si>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</si>
  <si>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</si>
  <si>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</si>
  <si>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</si>
  <si>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</si>
  <si>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</si>
  <si>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</si>
  <si>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</si>
  <si>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</si>
  <si>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</si>
  <si>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</si>
  <si>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</si>
  <si>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</si>
  <si>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</si>
  <si>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</si>
  <si>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</si>
  <si>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</si>
  <si>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</si>
  <si>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</si>
  <si>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</si>
  <si>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</si>
  <si>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</si>
  <si>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</si>
  <si>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</si>
  <si>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</si>
  <si>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</si>
  <si>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</si>
  <si>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</si>
  <si>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</si>
  <si>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</si>
  <si>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</si>
  <si>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</si>
  <si>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</si>
  <si>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</si>
  <si>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</si>
  <si>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</si>
  <si>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</si>
  <si>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</si>
  <si>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</si>
  <si>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</si>
  <si>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</si>
  <si>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</si>
  <si>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</si>
  <si>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</si>
  <si>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</si>
  <si>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</si>
  <si>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</si>
  <si>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</si>
  <si>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</si>
  <si>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</si>
  <si>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</si>
  <si>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</si>
  <si>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</si>
  <si>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</si>
  <si>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</si>
  <si>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</si>
  <si>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</si>
  <si>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</si>
  <si>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</si>
  <si>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</si>
  <si>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</si>
  <si>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</si>
  <si>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</si>
  <si>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</si>
  <si>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</si>
  <si>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</si>
  <si>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</si>
  <si>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</si>
  <si>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</si>
  <si>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</si>
  <si>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</si>
  <si>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</si>
  <si>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</si>
  <si>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</si>
  <si>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</si>
  <si>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</si>
  <si>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</si>
  <si>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</si>
  <si>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</si>
  <si>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</si>
  <si>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</si>
  <si>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</si>
  <si>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</si>
  <si>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</si>
  <si>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</si>
  <si>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</si>
  <si>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</si>
  <si>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</si>
  <si>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</si>
  <si>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</si>
  <si>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</si>
  <si>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</si>
  <si>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</si>
  <si>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</si>
  <si>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</si>
  <si>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</si>
  <si>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</si>
  <si>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</si>
  <si>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</si>
  <si>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</si>
  <si>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</si>
  <si>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</si>
  <si>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</si>
  <si>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</si>
  <si>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</si>
  <si>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</si>
  <si>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</si>
  <si>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</si>
  <si>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</si>
  <si>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</si>
  <si>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</si>
  <si>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</si>
  <si>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</si>
  <si>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</si>
  <si>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</si>
  <si>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</si>
  <si>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</si>
  <si>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</si>
  <si>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</si>
  <si>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</si>
  <si>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</si>
  <si>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</si>
  <si>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</si>
  <si>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</si>
  <si>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</si>
  <si>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</si>
  <si>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</si>
  <si>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</si>
  <si>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</si>
  <si>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</si>
  <si>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</si>
  <si>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</si>
  <si>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</si>
  <si>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</si>
  <si>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</si>
  <si>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</si>
  <si>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</si>
  <si>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</si>
  <si>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</si>
  <si>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</si>
  <si>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</si>
  <si>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</si>
  <si>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</si>
  <si>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</si>
  <si>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</si>
  <si>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</si>
  <si>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</si>
  <si>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</si>
  <si>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</si>
  <si>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</si>
  <si>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</si>
  <si>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</si>
  <si>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</si>
  <si>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</si>
  <si>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</si>
  <si>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</si>
  <si>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</si>
  <si>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</si>
  <si>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</si>
  <si>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</si>
  <si>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</si>
  <si>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</si>
  <si>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</si>
  <si>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</si>
  <si>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</si>
  <si>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</si>
  <si>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</si>
  <si>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</si>
  <si>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</si>
  <si>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</si>
  <si>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</si>
  <si>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</si>
  <si>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</si>
  <si>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</si>
  <si>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</si>
  <si>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</si>
  <si>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</si>
  <si>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</si>
  <si>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</si>
  <si>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</si>
  <si>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</si>
  <si>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</si>
  <si>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</si>
  <si>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</si>
  <si>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</si>
  <si>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</si>
  <si>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</si>
  <si>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</si>
  <si>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</si>
  <si>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</si>
  <si>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</si>
  <si>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</si>
  <si>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</si>
  <si>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</si>
  <si>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</si>
  <si>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</si>
  <si>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</si>
  <si>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</si>
  <si>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</si>
  <si>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</si>
  <si>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</si>
  <si>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</si>
  <si>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</si>
  <si>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</si>
  <si>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</si>
  <si>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</si>
  <si>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</si>
  <si>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</si>
  <si>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</si>
  <si>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</si>
  <si>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</si>
  <si>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</si>
  <si>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</si>
  <si>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</si>
  <si>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</si>
  <si>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</si>
  <si>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</si>
  <si>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</si>
  <si>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</si>
  <si>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</si>
  <si>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</si>
  <si>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</si>
  <si>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</si>
  <si>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</si>
  <si>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</si>
  <si>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</si>
  <si>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</si>
  <si>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</si>
  <si>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</si>
  <si>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</si>
  <si>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</si>
  <si>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</si>
  <si>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</si>
  <si>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</si>
  <si>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</si>
  <si>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</si>
  <si>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</si>
  <si>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</si>
  <si>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</si>
  <si>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</si>
  <si>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</si>
  <si>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</si>
  <si>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</si>
  <si>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</si>
  <si>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</si>
  <si>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</si>
  <si>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</si>
  <si>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</si>
  <si>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</si>
  <si>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</si>
  <si>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</si>
  <si>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</si>
  <si>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</si>
  <si>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</si>
  <si>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</si>
  <si>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</si>
  <si>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</si>
  <si>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</si>
  <si>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</si>
  <si>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</si>
  <si>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</si>
  <si>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</si>
  <si>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</si>
  <si>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</si>
  <si>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</si>
  <si>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</si>
  <si>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</si>
  <si>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</si>
  <si>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</si>
  <si>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</si>
  <si>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</si>
  <si>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</si>
  <si>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</si>
  <si>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</si>
  <si>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</si>
  <si>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</si>
  <si>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</si>
  <si>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</si>
  <si>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</si>
  <si>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</si>
  <si>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</si>
  <si>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</si>
  <si>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</si>
  <si>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</si>
  <si>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</si>
  <si>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</si>
  <si>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</si>
  <si>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</si>
  <si>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</si>
  <si>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</si>
  <si>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</si>
  <si>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</si>
  <si>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</si>
  <si>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</si>
  <si>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</si>
  <si>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</si>
  <si>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</si>
  <si>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</si>
  <si>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</si>
  <si>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</si>
  <si>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</si>
  <si>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</si>
  <si>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</si>
  <si>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</si>
  <si>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</si>
  <si>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</si>
  <si>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</si>
  <si>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</si>
  <si>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</si>
  <si>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</si>
  <si>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</si>
  <si>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</si>
  <si>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</si>
  <si>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</si>
  <si>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</si>
  <si>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</si>
  <si>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</si>
  <si>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</si>
  <si>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</si>
  <si>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</si>
  <si>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</si>
  <si>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</si>
  <si>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</si>
  <si>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</si>
  <si>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</si>
  <si>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</si>
  <si>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</si>
  <si>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</si>
  <si>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</si>
  <si>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</si>
  <si>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</si>
  <si>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</si>
  <si>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</si>
  <si>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</si>
  <si>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</si>
  <si>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</si>
  <si>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</si>
  <si>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</si>
  <si>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</si>
  <si>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</si>
  <si>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</si>
  <si>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</si>
  <si>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</si>
  <si>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</si>
  <si>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</si>
  <si>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</si>
  <si>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</si>
  <si>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</si>
  <si>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</si>
  <si>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</si>
  <si>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</si>
  <si>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</si>
  <si>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</si>
  <si>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</si>
  <si>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</si>
  <si>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</si>
  <si>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</si>
  <si>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</si>
  <si>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</si>
  <si>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</si>
  <si>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</si>
  <si>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</si>
  <si>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</si>
  <si>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</si>
  <si>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</si>
  <si>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</si>
  <si>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</si>
  <si>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</si>
  <si>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</si>
  <si>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</si>
  <si>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</si>
  <si>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</si>
  <si>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</si>
  <si>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</si>
  <si>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</si>
  <si>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</si>
  <si>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</si>
  <si>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</si>
  <si>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</si>
  <si>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</si>
  <si>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</si>
  <si>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</si>
  <si>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</si>
  <si>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</si>
  <si>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</si>
  <si>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</si>
  <si>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</si>
  <si>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</si>
  <si>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</si>
  <si>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</si>
  <si>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</si>
  <si>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</si>
  <si>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</si>
  <si>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</si>
  <si>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</si>
  <si>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</si>
  <si>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</si>
  <si>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</si>
  <si>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</si>
  <si>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</si>
  <si>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</si>
  <si>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</si>
  <si>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</si>
  <si>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</si>
  <si>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</si>
  <si>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</si>
  <si>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</si>
  <si>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</si>
  <si>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</si>
  <si>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</si>
  <si>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</si>
  <si>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</si>
  <si>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</si>
  <si>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</si>
  <si>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</si>
  <si>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</si>
  <si>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</si>
  <si>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</si>
  <si>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</si>
  <si>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</si>
  <si>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</si>
  <si>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</si>
  <si>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</si>
  <si>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</si>
  <si>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</si>
  <si>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</si>
  <si>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</si>
  <si>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</si>
  <si>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</si>
  <si>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</si>
  <si>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</si>
  <si>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</si>
  <si>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</si>
  <si>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</si>
  <si>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</si>
  <si>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</si>
  <si>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</si>
  <si>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</si>
  <si>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</si>
  <si>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</si>
  <si>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</si>
  <si>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</si>
  <si>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</si>
  <si>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</si>
  <si>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</si>
  <si>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</si>
  <si>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</si>
  <si>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</si>
  <si>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</si>
  <si>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</si>
  <si>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</si>
  <si>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</si>
  <si>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</si>
  <si>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</si>
  <si>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</si>
  <si>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</si>
  <si>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</si>
  <si>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</si>
  <si>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</si>
  <si>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</si>
  <si>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</si>
  <si>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</si>
  <si>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</si>
  <si>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</si>
  <si>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</si>
  <si>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</si>
  <si>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</si>
  <si>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</si>
  <si>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</si>
  <si>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</si>
  <si>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</si>
  <si>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</si>
  <si>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</si>
  <si>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</si>
  <si>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</si>
  <si>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</si>
  <si>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</si>
  <si>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</si>
  <si>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</si>
  <si>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</si>
  <si>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</si>
  <si>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</si>
  <si>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</si>
  <si>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</si>
  <si>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</si>
  <si>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</si>
  <si>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</si>
  <si>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</si>
  <si>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</si>
  <si>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</si>
  <si>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</si>
  <si>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</si>
  <si>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</si>
  <si>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</si>
  <si>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</si>
  <si>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</si>
  <si>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</si>
  <si>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</si>
  <si>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</si>
  <si>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</si>
  <si>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</si>
  <si>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</si>
  <si>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</si>
  <si>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</si>
  <si>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</si>
  <si>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</si>
  <si>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</si>
  <si>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</si>
  <si>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</si>
  <si>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</si>
  <si>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</si>
  <si>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</si>
  <si>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</si>
  <si>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</si>
  <si>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</si>
  <si>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</si>
  <si>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</si>
  <si>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</si>
  <si>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</si>
  <si>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</si>
  <si>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</si>
  <si>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</si>
  <si>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</si>
  <si>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</si>
  <si>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</si>
  <si>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</si>
  <si>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</si>
  <si>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</si>
  <si>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</si>
  <si>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</si>
  <si>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</si>
  <si>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</si>
  <si>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</si>
  <si>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</si>
  <si>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</si>
  <si>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</si>
  <si>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</si>
  <si>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</si>
  <si>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</si>
  <si>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</si>
  <si>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</si>
  <si>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</si>
  <si>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</si>
  <si>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</si>
  <si>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</si>
  <si>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</si>
  <si>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</si>
  <si>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</si>
  <si>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</si>
  <si>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</si>
  <si>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</si>
  <si>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</si>
  <si>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</si>
  <si>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</si>
  <si>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</si>
  <si>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</si>
  <si>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</si>
  <si>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</si>
  <si>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</si>
  <si>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</si>
  <si>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</si>
  <si>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</si>
  <si>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</si>
  <si>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</si>
  <si>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</si>
  <si>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</si>
  <si>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</si>
  <si>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</si>
  <si>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</si>
  <si>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</si>
  <si>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</si>
  <si>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</si>
  <si>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</si>
  <si>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</si>
  <si>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</si>
  <si>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</si>
  <si>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</si>
  <si>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</si>
  <si>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</si>
  <si>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</si>
  <si>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</si>
  <si>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</si>
  <si>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</si>
  <si>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</si>
  <si>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</si>
  <si>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</si>
  <si>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</si>
  <si>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</si>
  <si>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</si>
  <si>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</si>
  <si>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</si>
  <si>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</si>
  <si>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</si>
  <si>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</si>
  <si>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</si>
  <si>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</si>
  <si>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</si>
  <si>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</si>
  <si>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</si>
  <si>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</si>
  <si>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</si>
  <si>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</si>
  <si>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</si>
  <si>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</si>
  <si>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</si>
  <si>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</si>
  <si>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</si>
  <si>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</si>
  <si>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</si>
  <si>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</si>
  <si>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</si>
  <si>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</si>
  <si>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</si>
  <si>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</si>
  <si>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</si>
  <si>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</si>
  <si>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</si>
  <si>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</si>
  <si>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</si>
  <si>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</si>
  <si>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</si>
  <si>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</si>
  <si>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</si>
  <si>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</si>
  <si>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</si>
  <si>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</si>
  <si>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</si>
  <si>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</si>
  <si>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</si>
  <si>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</si>
  <si>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</si>
  <si>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</si>
  <si>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</si>
  <si>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</si>
  <si>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</si>
  <si>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</si>
  <si>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</si>
  <si>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</si>
  <si>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</si>
  <si>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</si>
  <si>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</si>
  <si>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</si>
  <si>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</si>
  <si>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</si>
  <si>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</si>
  <si>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</si>
  <si>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</si>
  <si>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</si>
  <si>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</si>
  <si>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</si>
  <si>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</si>
  <si>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</si>
  <si>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</si>
  <si>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</si>
  <si>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</si>
  <si>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</si>
  <si>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</si>
  <si>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</si>
  <si>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</si>
  <si>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</si>
  <si>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</si>
  <si>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</si>
  <si>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</si>
  <si>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</si>
  <si>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</si>
  <si>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</si>
  <si>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</si>
  <si>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</si>
  <si>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</si>
  <si>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</si>
  <si>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</si>
  <si>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</si>
  <si>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</si>
  <si>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</si>
  <si>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</si>
  <si>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</si>
  <si>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</si>
  <si>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</si>
  <si>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</si>
  <si>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</si>
  <si>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</si>
  <si>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</si>
  <si>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</si>
  <si>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</si>
  <si>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</si>
  <si>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</si>
  <si>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</si>
  <si>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</si>
  <si>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</si>
  <si>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</si>
  <si>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</si>
  <si>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</si>
  <si>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</si>
  <si>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</si>
  <si>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</si>
  <si>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</si>
  <si>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</si>
  <si>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</si>
  <si>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</si>
  <si>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</si>
  <si>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</si>
  <si>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</si>
  <si>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</si>
  <si>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</si>
  <si>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</si>
  <si>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</si>
  <si>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</si>
  <si>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</si>
  <si>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</si>
  <si>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</si>
  <si>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</si>
  <si>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</si>
  <si>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</si>
  <si>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</si>
  <si>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</si>
  <si>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</si>
  <si>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</si>
  <si>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</si>
  <si>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</si>
  <si>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</si>
  <si>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</si>
  <si>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</si>
  <si>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</si>
  <si>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</si>
  <si>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</si>
  <si>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</si>
  <si>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</si>
  <si>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</si>
  <si>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</si>
  <si>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</si>
  <si>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</si>
  <si>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</si>
  <si>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</si>
  <si>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</si>
  <si>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</si>
  <si>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</si>
  <si>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</si>
  <si>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</si>
  <si>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</si>
  <si>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</si>
  <si>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</si>
  <si>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</si>
  <si>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</si>
  <si>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</si>
  <si>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</si>
  <si>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</si>
  <si>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</si>
  <si>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</si>
  <si>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</si>
  <si>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</si>
  <si>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</si>
  <si>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</si>
  <si>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</si>
  <si>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</si>
  <si>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</si>
  <si>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</si>
  <si>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</si>
  <si>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</si>
  <si>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</si>
  <si>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</si>
  <si>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</si>
  <si>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</si>
  <si>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</si>
  <si>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</si>
  <si>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</si>
  <si>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</si>
  <si>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</si>
  <si>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</si>
  <si>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</si>
  <si>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</si>
  <si>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</si>
  <si>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</si>
  <si>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</si>
  <si>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</si>
  <si>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</si>
  <si>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</si>
  <si>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</si>
  <si>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</si>
  <si>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</si>
  <si>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</si>
  <si>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</si>
  <si>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</si>
  <si>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</si>
  <si>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</si>
  <si>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</si>
  <si>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</si>
  <si>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</si>
  <si>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</si>
  <si>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</si>
  <si>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</si>
  <si>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</si>
  <si>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</si>
  <si>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</si>
  <si>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</si>
  <si>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</si>
  <si>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</si>
  <si>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</si>
  <si>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</si>
  <si>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</si>
  <si>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</si>
  <si>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</si>
  <si>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</si>
  <si>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</si>
  <si>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</si>
  <si>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</si>
  <si>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</si>
  <si>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</si>
  <si>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</si>
  <si>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</si>
  <si>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</si>
  <si>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</si>
  <si>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</si>
  <si>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</si>
  <si>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</si>
  <si>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</si>
  <si>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</si>
  <si>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</si>
  <si>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</si>
  <si>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</si>
  <si>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</si>
  <si>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</si>
  <si>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</si>
  <si>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</si>
  <si>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</si>
  <si>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</si>
  <si>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</si>
  <si>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</si>
  <si>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</si>
  <si>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</si>
  <si>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</si>
  <si>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</si>
  <si>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</si>
  <si>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</si>
  <si>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</si>
  <si>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</si>
  <si>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</si>
  <si>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</si>
  <si>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</si>
  <si>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</si>
  <si>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</si>
  <si>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</si>
  <si>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</si>
  <si>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</si>
  <si>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</si>
  <si>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</si>
  <si>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</si>
  <si>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</si>
  <si>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</si>
  <si>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</si>
  <si>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</si>
  <si>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</si>
  <si>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</si>
  <si>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</si>
  <si>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</si>
  <si>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</si>
  <si>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</si>
  <si>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</si>
  <si>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</si>
  <si>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</si>
  <si>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</si>
  <si>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</si>
  <si>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</si>
  <si>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</si>
  <si>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</si>
  <si>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</si>
  <si>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</si>
  <si>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</si>
  <si>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</si>
  <si>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</si>
  <si>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</si>
  <si>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</si>
  <si>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</si>
  <si>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</si>
  <si>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</si>
  <si>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</si>
  <si>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</si>
  <si>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</si>
  <si>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</si>
  <si>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</si>
  <si>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</si>
  <si>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</si>
  <si>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</si>
  <si>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</si>
  <si>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</si>
  <si>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</si>
  <si>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</si>
  <si>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</si>
  <si>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</si>
  <si>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</si>
  <si>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</si>
  <si>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</si>
  <si>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</si>
  <si>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</si>
  <si>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</si>
  <si>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</si>
  <si>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</si>
  <si>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</si>
  <si>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</si>
  <si>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</si>
  <si>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</si>
  <si>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</si>
  <si>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</si>
  <si>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</si>
  <si>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</si>
  <si>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</si>
  <si>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</si>
  <si>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</si>
  <si>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</si>
  <si>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</si>
  <si>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</si>
  <si>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</si>
  <si>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</si>
  <si>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</si>
  <si>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</si>
  <si>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</si>
  <si>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</si>
  <si>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</si>
  <si>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</si>
  <si>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</si>
  <si>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</si>
  <si>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</si>
  <si>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</si>
  <si>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</si>
  <si>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</si>
  <si>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</si>
  <si>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</si>
  <si>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</si>
  <si>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</si>
  <si>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</si>
  <si>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</si>
  <si>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</si>
  <si>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</si>
  <si>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</si>
  <si>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</si>
  <si>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</si>
  <si>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</si>
  <si>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</si>
  <si>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</si>
  <si>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</si>
  <si>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</si>
  <si>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</si>
  <si>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</si>
  <si>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</si>
  <si>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</si>
  <si>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</si>
  <si>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</si>
  <si>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</si>
  <si>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</si>
  <si>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</si>
  <si>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</si>
  <si>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</si>
  <si>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</si>
  <si>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</si>
  <si>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</si>
  <si>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</si>
  <si>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</si>
  <si>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</si>
  <si>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</si>
  <si>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</si>
  <si>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</si>
  <si>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</si>
  <si>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</si>
  <si>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</si>
  <si>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</si>
  <si>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</si>
  <si>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</si>
  <si>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</si>
  <si>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</si>
  <si>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</si>
  <si>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</si>
  <si>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</si>
  <si>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</si>
  <si>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</si>
  <si>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</si>
  <si>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</si>
  <si>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</si>
  <si>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</si>
  <si>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</si>
  <si>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</si>
  <si>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</si>
  <si>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</si>
  <si>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</si>
  <si>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</si>
  <si>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</si>
  <si>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</si>
  <si>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</si>
  <si>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</si>
  <si>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</si>
  <si>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</si>
  <si>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</si>
  <si>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</si>
  <si>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</si>
  <si>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</si>
  <si>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</si>
  <si>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</si>
  <si>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</si>
  <si>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</si>
  <si>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</si>
  <si>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</si>
  <si>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</si>
  <si>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</si>
  <si>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</si>
  <si>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</si>
  <si>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</si>
  <si>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</si>
  <si>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</si>
  <si>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</si>
  <si>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</si>
  <si>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</si>
  <si>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</si>
  <si>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</si>
  <si>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</si>
  <si>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</si>
  <si>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</si>
  <si>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</si>
  <si>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</si>
  <si>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</si>
  <si>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</si>
  <si>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</si>
  <si>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</si>
  <si>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</si>
  <si>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</si>
  <si>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</si>
  <si>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</si>
  <si>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</si>
  <si>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</si>
  <si>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</si>
  <si>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</si>
  <si>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</si>
  <si>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</si>
  <si>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</si>
  <si>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</si>
  <si>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</si>
  <si>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</si>
  <si>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</si>
  <si>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</si>
  <si>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</si>
  <si>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</si>
  <si>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</si>
  <si>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</si>
  <si>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</si>
  <si>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</si>
  <si>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</si>
  <si>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</si>
  <si>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</si>
  <si>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</si>
  <si>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</si>
  <si>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</si>
  <si>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</si>
  <si>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</si>
  <si>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</si>
  <si>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</si>
  <si>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</si>
  <si>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</si>
  <si>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</si>
  <si>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</si>
  <si>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</si>
  <si>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</si>
  <si>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</si>
  <si>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</si>
  <si>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</si>
  <si>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</si>
  <si>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</si>
  <si>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</si>
  <si>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</si>
  <si>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</si>
  <si>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</si>
  <si>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</si>
  <si>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</si>
  <si>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</si>
  <si>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</si>
  <si>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</si>
  <si>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</si>
  <si>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</si>
  <si>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</si>
  <si>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</si>
  <si>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</si>
  <si>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</si>
  <si>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</si>
  <si>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</si>
  <si>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</si>
  <si>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</si>
  <si>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</si>
  <si>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</si>
  <si>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</si>
  <si>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</si>
  <si>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</si>
  <si>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</si>
  <si>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</si>
  <si>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</si>
  <si>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</si>
  <si>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</si>
  <si>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</si>
  <si>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</si>
  <si>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</si>
  <si>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</si>
  <si>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</si>
  <si>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</si>
  <si>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</si>
  <si>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</si>
  <si>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</si>
  <si>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</si>
  <si>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</si>
  <si>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</si>
  <si>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</si>
  <si>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</si>
  <si>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</si>
  <si>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</si>
  <si>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</si>
  <si>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</si>
  <si>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</si>
  <si>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</si>
  <si>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</si>
  <si>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</si>
  <si>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</si>
  <si>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</si>
  <si>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</si>
  <si>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</si>
  <si>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</si>
  <si>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</si>
  <si>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</si>
  <si>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</si>
  <si>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</si>
  <si>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</si>
  <si>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</si>
  <si>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</si>
  <si>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</si>
  <si>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</si>
  <si>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</si>
  <si>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</si>
  <si>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</si>
  <si>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</si>
  <si>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</si>
  <si>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</si>
  <si>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</si>
  <si>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</si>
  <si>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</si>
  <si>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</si>
  <si>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</si>
  <si>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</si>
  <si>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</si>
  <si>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</si>
  <si>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</si>
  <si>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</si>
  <si>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</si>
  <si>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</si>
  <si>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</si>
  <si>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</si>
  <si>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</si>
  <si>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</si>
  <si>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</si>
  <si>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</si>
  <si>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</si>
  <si>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</si>
  <si>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</si>
  <si>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</si>
  <si>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</si>
  <si>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</si>
  <si>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</si>
  <si>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</si>
  <si>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</si>
  <si>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</si>
  <si>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</si>
  <si>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</si>
  <si>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</si>
  <si>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</si>
  <si>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</si>
  <si>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</si>
  <si>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</si>
  <si>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</si>
  <si>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</si>
  <si>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</si>
  <si>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</si>
  <si>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</si>
  <si>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</si>
  <si>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</si>
  <si>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</si>
  <si>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</si>
  <si>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</si>
  <si>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</si>
  <si>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</si>
  <si>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</si>
  <si>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</si>
  <si>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</si>
  <si>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</si>
  <si>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</si>
  <si>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</si>
  <si>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</si>
  <si>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</si>
  <si>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</si>
  <si>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</si>
  <si>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</si>
  <si>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</si>
  <si>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</si>
  <si>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</si>
  <si>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</si>
  <si>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</si>
  <si>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</si>
  <si>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</si>
  <si>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</si>
  <si>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</si>
  <si>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</si>
  <si>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</si>
  <si>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</si>
  <si>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</si>
  <si>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</si>
  <si>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</si>
  <si>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</si>
  <si>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</si>
  <si>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</si>
  <si>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</si>
  <si>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</si>
  <si>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</si>
  <si>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</si>
  <si>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</si>
  <si>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</si>
  <si>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</si>
  <si>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</si>
  <si>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</si>
  <si>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</si>
  <si>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</si>
  <si>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</si>
  <si>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</si>
  <si>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</si>
  <si>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</si>
  <si>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</si>
  <si>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</si>
  <si>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</si>
  <si>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</si>
  <si>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</si>
  <si>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</si>
  <si>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</si>
  <si>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</si>
  <si>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</si>
  <si>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</si>
  <si>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</si>
  <si>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</si>
  <si>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</si>
  <si>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</si>
  <si>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</si>
  <si>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</si>
  <si>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</si>
  <si>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</si>
  <si>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</si>
  <si>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</si>
  <si>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</si>
  <si>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</si>
  <si>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</si>
  <si>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</si>
  <si>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</si>
  <si>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</si>
  <si>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</si>
  <si>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</si>
  <si>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</si>
  <si>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</si>
  <si>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</si>
  <si>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</si>
  <si>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</si>
  <si>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</si>
  <si>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</si>
  <si>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</si>
  <si>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</si>
  <si>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</si>
  <si>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</si>
  <si>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</si>
  <si>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</si>
  <si>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</si>
  <si>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</si>
  <si>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</si>
  <si>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</si>
  <si>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</si>
  <si>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</si>
  <si>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</si>
  <si>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</si>
  <si>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</si>
  <si>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</si>
  <si>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</si>
  <si>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</si>
  <si>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</si>
  <si>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</si>
  <si>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</si>
  <si>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</si>
  <si>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</si>
  <si>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</si>
  <si>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</si>
  <si>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</si>
  <si>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</si>
  <si>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</si>
  <si>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</si>
  <si>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</si>
  <si>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</si>
  <si>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</si>
  <si>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</si>
  <si>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</si>
  <si>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</si>
  <si>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</si>
  <si>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</si>
  <si>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</si>
  <si>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</si>
  <si>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</si>
  <si>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</si>
  <si>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</si>
  <si>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</si>
  <si>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</si>
  <si>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</si>
  <si>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</si>
  <si>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</si>
  <si>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</si>
  <si>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</si>
  <si>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</si>
  <si>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</si>
  <si>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</si>
  <si>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</si>
  <si>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</si>
  <si>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</si>
  <si>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</si>
  <si>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</si>
  <si>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</si>
  <si>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</si>
  <si>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</si>
  <si>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</si>
  <si>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</si>
  <si>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</si>
  <si>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</si>
  <si>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</si>
  <si>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</si>
  <si>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</si>
  <si>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</si>
  <si>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</si>
  <si>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</si>
  <si>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</si>
  <si>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</si>
  <si>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</si>
  <si>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</si>
  <si>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</si>
  <si>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</si>
  <si>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</si>
  <si>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</si>
  <si>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</si>
  <si>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</si>
  <si>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</si>
  <si>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</si>
  <si>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</si>
  <si>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</si>
  <si>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</si>
  <si>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</si>
  <si>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</si>
  <si>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</si>
  <si>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</si>
  <si>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</si>
  <si>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</si>
  <si>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</si>
  <si>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</si>
  <si>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</si>
  <si>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</si>
  <si>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</si>
  <si>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</si>
  <si>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</si>
  <si>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</si>
  <si>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</si>
  <si>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</si>
  <si>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</si>
  <si>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</si>
  <si>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</si>
  <si>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</si>
  <si>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</si>
  <si>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</si>
  <si>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</si>
  <si>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</si>
  <si>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</si>
  <si>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</si>
  <si>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</si>
  <si>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</si>
  <si>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</si>
  <si>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</si>
  <si>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</si>
  <si>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</si>
  <si>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</si>
  <si>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</si>
  <si>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</si>
  <si>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</si>
  <si>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</si>
  <si>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</si>
  <si>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</si>
  <si>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</si>
  <si>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</si>
  <si>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</si>
  <si>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</si>
  <si>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</si>
  <si>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</si>
  <si>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</si>
  <si>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</si>
  <si>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</si>
  <si>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</si>
  <si>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</si>
  <si>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</si>
  <si>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</si>
  <si>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</si>
  <si>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</si>
  <si>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</si>
  <si>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</si>
  <si>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</si>
  <si>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</si>
  <si>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</si>
  <si>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</si>
  <si>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</si>
  <si>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</si>
  <si>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</si>
  <si>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</si>
  <si>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</si>
  <si>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</si>
  <si>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</si>
  <si>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</si>
  <si>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</si>
  <si>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</si>
  <si>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</si>
  <si>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</si>
  <si>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</si>
  <si>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</si>
  <si>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</si>
  <si>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</si>
  <si>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</si>
  <si>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</si>
  <si>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</si>
  <si>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</si>
  <si>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</si>
  <si>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</si>
  <si>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</si>
  <si>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</si>
  <si>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</si>
  <si>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</si>
  <si>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</si>
  <si>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</si>
  <si>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</si>
  <si>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</si>
  <si>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</si>
  <si>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</si>
  <si>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</si>
  <si>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</si>
  <si>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</si>
  <si>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</si>
  <si>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</si>
  <si>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</si>
  <si>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</si>
  <si>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</si>
  <si>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</si>
  <si>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</si>
  <si>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</si>
  <si>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</si>
  <si>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</si>
  <si>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</si>
  <si>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</si>
  <si>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</si>
  <si>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</si>
  <si>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</si>
  <si>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</si>
  <si>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</si>
  <si>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</si>
  <si>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</si>
  <si>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</si>
  <si>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</si>
  <si>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</si>
  <si>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</si>
  <si>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</si>
  <si>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</si>
  <si>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</si>
  <si>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</si>
  <si>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</si>
  <si>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</si>
  <si>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</si>
  <si>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</si>
  <si>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</si>
  <si>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</si>
  <si>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</si>
  <si>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</si>
  <si>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</si>
  <si>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</si>
  <si>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</si>
  <si>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</si>
  <si>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</si>
  <si>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</si>
  <si>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</si>
  <si>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</si>
  <si>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</si>
  <si>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</si>
  <si>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</si>
  <si>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</si>
  <si>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</si>
  <si>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</si>
  <si>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</si>
  <si>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</si>
  <si>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</si>
  <si>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</si>
  <si>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</si>
  <si>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</si>
  <si>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</si>
  <si>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</si>
  <si>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</si>
  <si>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</si>
  <si>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</si>
  <si>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</si>
  <si>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</si>
  <si>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</si>
  <si>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</si>
  <si>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</si>
  <si>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</si>
  <si>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</si>
  <si>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</si>
  <si>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</si>
  <si>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</si>
  <si>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</si>
  <si>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</si>
  <si>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</si>
  <si>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</si>
  <si>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</si>
  <si>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</si>
  <si>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</si>
  <si>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</si>
  <si>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</si>
  <si>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</si>
  <si>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</si>
  <si>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</si>
  <si>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</si>
  <si>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</si>
  <si>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</si>
  <si>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</si>
  <si>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</si>
  <si>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</si>
  <si>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</si>
  <si>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</si>
  <si>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</si>
  <si>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</si>
  <si>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</si>
  <si>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</si>
  <si>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</si>
  <si>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</si>
  <si>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</si>
  <si>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</si>
  <si>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</si>
  <si>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</si>
  <si>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</si>
  <si>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</si>
  <si>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</si>
  <si>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</si>
  <si>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</si>
  <si>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</si>
  <si>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</si>
  <si>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</si>
  <si>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</si>
  <si>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</si>
  <si>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</si>
  <si>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</si>
  <si>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</si>
  <si>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</si>
  <si>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</si>
  <si>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</si>
  <si>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</si>
  <si>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</si>
  <si>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</si>
  <si>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</si>
  <si>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</si>
  <si>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</si>
  <si>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</si>
  <si>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</si>
  <si>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</si>
  <si>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</si>
  <si>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</si>
  <si>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</si>
  <si>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</si>
  <si>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</si>
  <si>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</si>
  <si>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</si>
  <si>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</si>
  <si>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</si>
  <si>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</si>
  <si>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</si>
  <si>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</si>
  <si>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</si>
  <si>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</si>
  <si>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</si>
  <si>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</si>
  <si>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</si>
  <si>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</si>
  <si>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</si>
  <si>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</si>
  <si>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</si>
  <si>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</si>
  <si>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</si>
  <si>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</si>
  <si>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</si>
  <si>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</si>
  <si>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</si>
  <si>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</si>
  <si>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</si>
  <si>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</si>
  <si>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</si>
  <si>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</si>
  <si>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</si>
  <si>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</si>
  <si>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</si>
  <si>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</si>
  <si>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</si>
  <si>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</si>
  <si>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</si>
  <si>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</si>
  <si>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</si>
  <si>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</si>
  <si>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</si>
  <si>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</si>
  <si>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</si>
  <si>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</si>
  <si>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</si>
  <si>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</si>
  <si>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</si>
  <si>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</si>
  <si>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</si>
  <si>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</si>
  <si>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</si>
  <si>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</si>
  <si>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</si>
  <si>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</si>
  <si>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</si>
  <si>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</si>
  <si>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</si>
  <si>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</si>
  <si>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</si>
  <si>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</si>
  <si>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</si>
  <si>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</si>
  <si>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</si>
  <si>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</si>
  <si>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</si>
  <si>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</si>
  <si>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</si>
  <si>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</si>
  <si>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</si>
  <si>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</si>
  <si>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</si>
  <si>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</si>
  <si>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</si>
  <si>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</si>
  <si>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</si>
  <si>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</si>
  <si>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</si>
  <si>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</si>
  <si>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</si>
  <si>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</si>
  <si>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</si>
  <si>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</si>
  <si>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</si>
  <si>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</si>
  <si>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</si>
  <si>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</si>
  <si>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</si>
  <si>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</si>
  <si>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</si>
  <si>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</si>
  <si>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</si>
  <si>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</si>
  <si>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</si>
  <si>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</si>
  <si>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</si>
  <si>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</si>
  <si>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</si>
  <si>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</si>
  <si>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</si>
  <si>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</si>
  <si>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</si>
  <si>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</si>
  <si>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</si>
  <si>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</si>
  <si>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</si>
  <si>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</si>
  <si>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</si>
  <si>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</si>
  <si>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</si>
  <si>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</si>
  <si>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</si>
  <si>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</si>
  <si>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</si>
  <si>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</si>
  <si>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</si>
  <si>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</si>
  <si>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</si>
  <si>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</si>
  <si>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</si>
  <si>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</si>
  <si>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</si>
  <si>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</si>
  <si>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</si>
  <si>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</si>
  <si>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</si>
  <si>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</si>
  <si>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</si>
  <si>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</si>
  <si>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</si>
  <si>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</si>
  <si>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</si>
  <si>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</si>
  <si>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</si>
  <si>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</si>
  <si>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</si>
  <si>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</si>
  <si>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</si>
  <si>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</si>
  <si>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</si>
  <si>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</si>
  <si>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</si>
  <si>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</si>
  <si>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</si>
  <si>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</si>
  <si>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</si>
  <si>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</si>
  <si>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</si>
  <si>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</si>
  <si>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</si>
  <si>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</si>
  <si>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</si>
  <si>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</si>
  <si>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</si>
  <si>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</si>
  <si>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</si>
  <si>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</si>
  <si>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</si>
  <si>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</si>
  <si>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</si>
  <si>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</si>
  <si>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</si>
  <si>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</si>
  <si>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</si>
  <si>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</si>
  <si>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</si>
  <si>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</si>
  <si>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</si>
  <si>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</si>
  <si>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</si>
  <si>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</si>
  <si>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</si>
  <si>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</si>
  <si>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</si>
  <si>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</si>
  <si>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</si>
  <si>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</si>
  <si>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</si>
  <si>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</si>
  <si>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</si>
  <si>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</si>
  <si>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</si>
  <si>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</si>
  <si>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</si>
  <si>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</si>
  <si>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</si>
  <si>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</si>
  <si>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</si>
  <si>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</si>
  <si>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</si>
  <si>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</si>
  <si>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</si>
  <si>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</si>
  <si>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</si>
  <si>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</si>
  <si>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</si>
  <si>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</si>
  <si>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</si>
  <si>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</si>
  <si>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</si>
  <si>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</si>
  <si>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</si>
  <si>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</si>
  <si>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</si>
  <si>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</si>
  <si>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</si>
  <si>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</si>
  <si>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</si>
  <si>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</si>
  <si>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</si>
  <si>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</si>
  <si>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</si>
  <si>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</si>
  <si>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</si>
  <si>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</si>
  <si>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</si>
  <si>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</si>
  <si>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</si>
  <si>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</si>
  <si>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</si>
  <si>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</si>
  <si>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</si>
  <si>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</si>
  <si>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</si>
  <si>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</si>
  <si>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</si>
  <si>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</si>
  <si>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</si>
  <si>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</si>
  <si>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</si>
  <si>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</si>
  <si>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</si>
  <si>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</si>
  <si>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</si>
  <si>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</si>
  <si>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</si>
  <si>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</si>
  <si>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</si>
  <si>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</si>
  <si>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</si>
  <si>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</si>
  <si>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</si>
  <si>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</si>
  <si>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</si>
  <si>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</si>
  <si>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</si>
  <si>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</si>
  <si>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</si>
  <si>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</si>
  <si>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</si>
  <si>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</si>
  <si>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</si>
  <si>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</si>
  <si>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</si>
  <si>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</si>
  <si>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</si>
  <si>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</si>
  <si>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</si>
  <si>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</si>
  <si>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</si>
  <si>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</si>
  <si>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</si>
  <si>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</si>
  <si>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</si>
  <si>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</si>
  <si>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</si>
  <si>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</si>
  <si>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</si>
  <si>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</si>
  <si>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</si>
  <si>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</si>
  <si>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</si>
  <si>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</si>
  <si>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</si>
  <si>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</si>
  <si>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</si>
  <si>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</si>
  <si>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</si>
  <si>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</si>
  <si>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</si>
  <si>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</si>
  <si>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</si>
  <si>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</si>
  <si>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</si>
  <si>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</si>
  <si>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</si>
  <si>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</si>
  <si>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</si>
  <si>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</si>
  <si>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</si>
  <si>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</si>
  <si>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</si>
  <si>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</si>
  <si>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</si>
  <si>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</si>
  <si>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</si>
  <si>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</si>
  <si>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</si>
  <si>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</si>
  <si>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</si>
  <si>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</si>
  <si>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</si>
  <si>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</si>
  <si>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</si>
  <si>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</si>
  <si>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</si>
  <si>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</si>
  <si>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</si>
  <si>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</si>
  <si>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</si>
  <si>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</si>
  <si>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</si>
  <si>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</si>
  <si>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</si>
  <si>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</si>
  <si>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</si>
  <si>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</si>
  <si>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</si>
  <si>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</si>
  <si>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</si>
  <si>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</si>
  <si>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</si>
  <si>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</si>
  <si>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</si>
  <si>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</si>
  <si>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</si>
  <si>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</si>
  <si>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</si>
  <si>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</si>
  <si>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</si>
  <si>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</si>
  <si>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</si>
  <si>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</si>
  <si>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</si>
  <si>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</si>
  <si>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</si>
  <si>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</si>
  <si>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</si>
  <si>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</si>
  <si>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</si>
  <si>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</si>
  <si>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</si>
  <si>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</si>
  <si>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</si>
  <si>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</si>
  <si>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</si>
  <si>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</si>
  <si>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</si>
  <si>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</si>
  <si>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</si>
  <si>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</si>
  <si>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</si>
  <si>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</si>
  <si>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</si>
  <si>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</si>
  <si>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</si>
  <si>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</si>
  <si>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</si>
  <si>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</si>
  <si>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</si>
  <si>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</si>
  <si>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</si>
  <si>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</si>
  <si>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</si>
  <si>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</si>
  <si>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</si>
  <si>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</si>
  <si>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</si>
  <si>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</si>
  <si>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</si>
  <si>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</si>
  <si>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</si>
  <si>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</si>
  <si>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</si>
  <si>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</si>
  <si>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</si>
  <si>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</si>
  <si>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</si>
  <si>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</si>
  <si>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</si>
  <si>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</si>
  <si>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</si>
  <si>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</si>
  <si>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</si>
  <si>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</si>
  <si>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</si>
  <si>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</si>
  <si>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</si>
  <si>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</si>
  <si>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</si>
  <si>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</si>
  <si>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</si>
  <si>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</si>
  <si>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</si>
  <si>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</si>
  <si>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</si>
  <si>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</si>
  <si>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</si>
  <si>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</si>
  <si>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</si>
  <si>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</si>
  <si>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</si>
  <si>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</si>
  <si>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</si>
  <si>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</si>
  <si>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</si>
  <si>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</si>
  <si>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</si>
  <si>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</si>
  <si>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</si>
  <si>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</si>
  <si>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</si>
  <si>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</si>
  <si>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</si>
  <si>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</si>
  <si>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</si>
  <si>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</si>
  <si>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</si>
  <si>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</si>
  <si>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</si>
  <si>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</si>
  <si>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</si>
  <si>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</si>
  <si>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</si>
  <si>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</si>
  <si>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</si>
  <si>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</si>
  <si>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</si>
  <si>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</si>
  <si>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</si>
  <si>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</si>
  <si>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</si>
  <si>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</si>
  <si>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</si>
  <si>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</si>
  <si>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</si>
  <si>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</si>
  <si>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</si>
  <si>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</si>
  <si>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</si>
  <si>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</si>
  <si>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</si>
  <si>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</si>
  <si>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</si>
  <si>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</si>
  <si>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</si>
  <si>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</si>
  <si>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</si>
  <si>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</si>
  <si>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</si>
  <si>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</si>
  <si>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</si>
  <si>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</si>
  <si>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</si>
  <si>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</si>
  <si>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</si>
  <si>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</si>
  <si>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</si>
  <si>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</si>
  <si>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</si>
  <si>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</si>
  <si>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</si>
  <si>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</si>
  <si>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</si>
  <si>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</si>
  <si>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</si>
  <si>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</si>
  <si>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</si>
  <si>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</si>
  <si>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</si>
  <si>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</si>
  <si>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</si>
  <si>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</si>
  <si>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</si>
  <si>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</si>
  <si>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</si>
  <si>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</si>
  <si>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</si>
  <si>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</si>
  <si>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</si>
  <si>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</si>
  <si>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</si>
  <si>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</si>
  <si>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</si>
  <si>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</si>
  <si>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</si>
  <si>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</si>
  <si>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</si>
  <si>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</si>
  <si>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</si>
  <si>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</si>
  <si>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</si>
  <si>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</si>
  <si>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</si>
  <si>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</si>
  <si>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</si>
  <si>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</si>
  <si>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</si>
  <si>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</si>
  <si>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</si>
  <si>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</si>
  <si>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</si>
  <si>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</si>
  <si>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</si>
  <si>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</si>
  <si>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</si>
  <si>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</si>
  <si>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</si>
  <si>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</si>
  <si>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</si>
  <si>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</si>
  <si>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</si>
  <si>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</si>
  <si>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</si>
  <si>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</si>
  <si>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</si>
  <si>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</si>
  <si>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</si>
  <si>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</si>
  <si>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</si>
  <si>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</si>
  <si>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</si>
  <si>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</si>
  <si>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</si>
  <si>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</si>
  <si>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</si>
  <si>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</si>
  <si>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</si>
  <si>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</si>
  <si>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</si>
  <si>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</si>
  <si>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</si>
  <si>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</si>
  <si>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</si>
  <si>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</si>
  <si>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</si>
  <si>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</si>
  <si>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</si>
  <si>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</si>
  <si>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</si>
  <si>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</si>
  <si>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</si>
  <si>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</si>
  <si>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</si>
  <si>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</si>
  <si>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</si>
  <si>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</si>
  <si>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</si>
  <si>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</si>
  <si>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</si>
  <si>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</si>
  <si>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</si>
  <si>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</si>
  <si>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</si>
  <si>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</si>
  <si>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</si>
  <si>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</si>
  <si>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</si>
  <si>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</si>
  <si>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</si>
  <si>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</si>
  <si>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</si>
  <si>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</si>
  <si>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</si>
  <si>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</si>
  <si>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</si>
  <si>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</si>
  <si>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</si>
  <si>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</si>
  <si>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</si>
  <si>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</si>
  <si>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</si>
  <si>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</si>
  <si>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</si>
  <si>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</si>
  <si>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</si>
  <si>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</si>
  <si>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</si>
  <si>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</si>
  <si>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</si>
  <si>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</si>
  <si>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</si>
  <si>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</si>
  <si>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</si>
  <si>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</si>
  <si>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</si>
  <si>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</si>
  <si>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</si>
  <si>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</si>
  <si>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</si>
  <si>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</si>
  <si>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</si>
  <si>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</si>
  <si>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</si>
  <si>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</si>
  <si>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</si>
  <si>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</si>
  <si>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</si>
  <si>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</si>
  <si>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</si>
  <si>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</si>
  <si>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</si>
  <si>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</si>
  <si>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</si>
  <si>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</si>
  <si>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</si>
  <si>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</si>
  <si>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</si>
  <si>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</si>
  <si>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</si>
  <si>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</si>
  <si>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</si>
  <si>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</si>
  <si>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</si>
  <si>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</si>
  <si>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</si>
  <si>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</si>
  <si>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</si>
  <si>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</si>
  <si>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</si>
  <si>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</si>
  <si>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</si>
  <si>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</si>
  <si>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</si>
  <si>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</si>
  <si>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</si>
  <si>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</si>
  <si>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</si>
  <si>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</si>
  <si>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</si>
  <si>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</si>
  <si>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</si>
  <si>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</si>
  <si>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</si>
  <si>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</si>
  <si>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</si>
  <si>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</si>
  <si>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</si>
  <si>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</si>
  <si>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</si>
  <si>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</si>
  <si>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</si>
  <si>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</si>
  <si>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</si>
  <si>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</si>
  <si>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</si>
  <si>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</si>
  <si>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</si>
  <si>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</si>
  <si>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</si>
  <si>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</si>
  <si>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</si>
  <si>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</si>
  <si>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</si>
  <si>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</si>
  <si>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</si>
  <si>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</si>
  <si>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</si>
  <si>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</si>
  <si>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</si>
  <si>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</si>
  <si>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</si>
  <si>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</si>
  <si>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</si>
  <si>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</si>
  <si>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</si>
  <si>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</si>
  <si>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</si>
  <si>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</si>
  <si>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</si>
  <si>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</si>
  <si>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</si>
  <si>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</si>
  <si>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</si>
  <si>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</si>
  <si>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</si>
  <si>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</si>
  <si>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</si>
  <si>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</si>
  <si>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</si>
  <si>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</si>
  <si>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</si>
  <si>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</si>
  <si>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</si>
  <si>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</si>
  <si>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</si>
  <si>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</si>
  <si>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</si>
  <si>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</si>
  <si>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</si>
  <si>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</si>
  <si>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</si>
  <si>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</si>
  <si>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</si>
  <si>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</si>
  <si>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</si>
  <si>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</si>
  <si>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</si>
  <si>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</si>
  <si>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</si>
  <si>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</si>
  <si>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</si>
  <si>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</si>
  <si>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</si>
  <si>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</si>
  <si>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</si>
  <si>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</si>
  <si>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</si>
  <si>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</si>
  <si>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</si>
  <si>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</si>
  <si>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</si>
  <si>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</si>
  <si>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</si>
  <si>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</si>
  <si>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</si>
  <si>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</si>
  <si>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</si>
  <si>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</si>
  <si>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</si>
  <si>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</si>
  <si>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</si>
  <si>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</si>
  <si>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</si>
  <si>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</si>
  <si>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</si>
  <si>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</si>
  <si>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</si>
  <si>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</si>
  <si>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</si>
  <si>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</si>
  <si>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</si>
  <si>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</si>
  <si>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</si>
  <si>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</si>
  <si>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</si>
  <si>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</si>
  <si>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</si>
  <si>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</si>
  <si>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</si>
  <si>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</si>
  <si>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</si>
  <si>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</si>
  <si>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</si>
  <si>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</si>
  <si>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</si>
  <si>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</si>
  <si>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</si>
  <si>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</si>
  <si>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</si>
  <si>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</si>
  <si>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</si>
  <si>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</si>
  <si>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</si>
  <si>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</si>
  <si>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</si>
  <si>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</si>
  <si>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</si>
  <si>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</si>
  <si>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</si>
  <si>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</si>
  <si>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</si>
  <si>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</si>
  <si>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</si>
  <si>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</si>
  <si>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</si>
  <si>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</si>
  <si>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</si>
  <si>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</si>
  <si>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</si>
  <si>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</si>
  <si>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</si>
  <si>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</si>
  <si>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</si>
  <si>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</si>
  <si>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</si>
  <si>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</si>
  <si>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</si>
  <si>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</si>
  <si>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</si>
  <si>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</si>
  <si>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</si>
  <si>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</si>
  <si>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</si>
  <si>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</si>
  <si>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</si>
  <si>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</si>
  <si>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</si>
  <si>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</si>
  <si>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</si>
  <si>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</si>
  <si>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</si>
  <si>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</si>
  <si>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</si>
  <si>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</si>
  <si>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</si>
  <si>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</si>
  <si>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</si>
  <si>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</si>
  <si>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</si>
  <si>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</si>
  <si>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</si>
  <si>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</si>
  <si>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</si>
  <si>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</si>
  <si>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</si>
  <si>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</si>
  <si>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</si>
  <si>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</si>
  <si>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</si>
  <si>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</si>
  <si>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</si>
  <si>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</si>
  <si>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</si>
  <si>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</si>
  <si>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</si>
  <si>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</si>
  <si>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</si>
  <si>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</si>
  <si>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</si>
  <si>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</si>
  <si>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</si>
  <si>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</si>
  <si>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</si>
  <si>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</si>
  <si>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</si>
  <si>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</si>
  <si>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</si>
  <si>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</si>
  <si>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</si>
  <si>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</si>
  <si>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</si>
  <si>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</si>
  <si>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</si>
  <si>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</si>
  <si>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</si>
  <si>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</si>
  <si>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</si>
  <si>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</si>
  <si>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</si>
  <si>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</si>
  <si>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</si>
  <si>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</si>
  <si>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</si>
  <si>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</si>
  <si>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</si>
  <si>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</si>
  <si>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</si>
  <si>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</si>
  <si>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</si>
  <si>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</si>
  <si>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</si>
  <si>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</si>
  <si>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</si>
  <si>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</si>
  <si>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</si>
  <si>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</si>
  <si>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</si>
  <si>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</si>
  <si>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</si>
  <si>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</si>
  <si>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</si>
  <si>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</si>
  <si>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</si>
  <si>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</si>
  <si>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</si>
  <si>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</si>
  <si>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</si>
  <si>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</si>
  <si>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</si>
  <si>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</si>
  <si>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</si>
  <si>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</si>
  <si>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</si>
  <si>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</si>
  <si>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</si>
  <si>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</si>
  <si>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</si>
  <si>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</si>
  <si>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</si>
  <si>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</si>
  <si>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</si>
  <si>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</si>
  <si>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</si>
  <si>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</si>
  <si>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</si>
  <si>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</si>
  <si>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</si>
  <si>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</si>
  <si>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</si>
  <si>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</si>
  <si>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</si>
  <si>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</si>
  <si>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</si>
  <si>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</si>
  <si>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</si>
  <si>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</si>
  <si>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</si>
  <si>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</si>
  <si>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</si>
  <si>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</si>
  <si>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</si>
  <si>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</si>
  <si>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</si>
  <si>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</si>
  <si>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</si>
  <si>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</si>
  <si>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</si>
  <si>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</si>
  <si>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</si>
  <si>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</si>
  <si>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</si>
  <si>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</si>
  <si>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</si>
  <si>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</si>
  <si>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</si>
  <si>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</si>
  <si>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</si>
  <si>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</si>
  <si>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</si>
  <si>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</si>
  <si>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</si>
  <si>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</si>
  <si>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</si>
  <si>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</si>
  <si>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</si>
  <si>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</si>
  <si>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</si>
  <si>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</si>
  <si>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</si>
  <si>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</si>
  <si>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</si>
  <si>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</si>
  <si>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</si>
  <si>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</si>
  <si>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</si>
  <si>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</si>
  <si>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</si>
  <si>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</si>
  <si>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</si>
  <si>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</si>
  <si>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</si>
  <si>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</si>
  <si>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</si>
  <si>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</si>
  <si>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</si>
  <si>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</si>
  <si>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</si>
  <si>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</si>
  <si>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</si>
  <si>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</si>
  <si>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</si>
  <si>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</si>
  <si>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</si>
  <si>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</si>
  <si>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</si>
  <si>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</si>
  <si>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</si>
  <si>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</si>
  <si>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</si>
  <si>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</si>
  <si>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</si>
  <si>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</si>
  <si>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</si>
  <si>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</si>
  <si>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</si>
  <si>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</si>
  <si>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</si>
  <si>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</si>
  <si>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</si>
  <si>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</si>
  <si>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</si>
  <si>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</si>
  <si>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</si>
  <si>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</si>
  <si>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</si>
  <si>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</si>
  <si>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</si>
  <si>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</si>
  <si>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</si>
  <si>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</si>
  <si>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</si>
  <si>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</si>
  <si>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</si>
  <si>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</si>
  <si>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</si>
  <si>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</si>
  <si>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</si>
  <si>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</si>
  <si>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</si>
  <si>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</si>
  <si>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</si>
  <si>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</si>
  <si>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</si>
  <si>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</si>
  <si>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</si>
  <si>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</si>
  <si>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</si>
  <si>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</si>
  <si>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</si>
  <si>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</si>
  <si>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</si>
  <si>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</si>
  <si>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</si>
  <si>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</si>
  <si>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</si>
  <si>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</si>
  <si>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</si>
  <si>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</si>
  <si>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</si>
  <si>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</si>
  <si>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</si>
  <si>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</si>
  <si>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</si>
  <si>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</si>
  <si>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</si>
  <si>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</si>
  <si>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</si>
  <si>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</si>
  <si>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</si>
  <si>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</si>
  <si>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</si>
  <si>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</si>
  <si>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</si>
  <si>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</si>
  <si>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</si>
  <si>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</si>
  <si>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</si>
  <si>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</si>
  <si>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</si>
  <si>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</si>
  <si>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</si>
  <si>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</si>
  <si>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</si>
  <si>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</si>
  <si>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</si>
  <si>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</si>
  <si>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</si>
  <si>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</si>
  <si>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</si>
  <si>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</si>
  <si>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</si>
  <si>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</si>
  <si>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</si>
  <si>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</si>
  <si>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</si>
  <si>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</si>
  <si>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</si>
  <si>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</si>
  <si>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</si>
  <si>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</si>
  <si>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</si>
  <si>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</si>
  <si>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</si>
  <si>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</si>
  <si>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</si>
  <si>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</si>
  <si>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</si>
  <si>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</si>
  <si>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</si>
  <si>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</si>
  <si>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</si>
  <si>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</si>
  <si>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</si>
  <si>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</si>
  <si>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</si>
  <si>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</si>
  <si>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</si>
  <si>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</si>
  <si>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</si>
  <si>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</si>
  <si>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</si>
  <si>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</si>
  <si>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</si>
  <si>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</si>
  <si>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</si>
  <si>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</si>
  <si>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</si>
  <si>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</si>
  <si>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</si>
  <si>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</si>
  <si>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</si>
  <si>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</si>
  <si>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</si>
  <si>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</si>
  <si>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</si>
  <si>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</si>
  <si>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</si>
  <si>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</si>
  <si>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</si>
  <si>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</si>
  <si>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</si>
  <si>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</si>
  <si>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</si>
  <si>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</si>
  <si>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</si>
  <si>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</si>
  <si>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</si>
  <si>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</si>
  <si>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</si>
  <si>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</si>
  <si>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</si>
  <si>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</si>
  <si>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</si>
  <si>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</si>
  <si>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</si>
  <si>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</si>
  <si>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</si>
  <si>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</si>
  <si>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</si>
  <si>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</si>
  <si>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</si>
  <si>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</si>
  <si>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</si>
  <si>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</si>
  <si>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</si>
  <si>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</si>
  <si>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</si>
  <si>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</si>
  <si>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</si>
  <si>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</si>
  <si>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</si>
  <si>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</si>
  <si>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</si>
  <si>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</si>
  <si>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</si>
  <si>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</si>
  <si>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</si>
  <si>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</si>
  <si>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</si>
  <si>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</si>
  <si>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</si>
  <si>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</si>
  <si>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</si>
  <si>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</si>
  <si>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</si>
  <si>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</si>
  <si>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</si>
  <si>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</si>
  <si>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</si>
  <si>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</si>
  <si>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</si>
  <si>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</si>
  <si>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</si>
  <si>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</si>
  <si>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</si>
  <si>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</si>
  <si>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</si>
  <si>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</si>
  <si>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</si>
  <si>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</si>
  <si>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</si>
  <si>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</si>
  <si>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</si>
  <si>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</si>
  <si>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</si>
  <si>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</si>
  <si>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</si>
  <si>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</si>
  <si>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</si>
  <si>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</si>
  <si>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</si>
  <si>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</si>
  <si>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</si>
  <si>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</si>
  <si>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</si>
  <si>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</si>
  <si>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</si>
  <si>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</si>
  <si>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</si>
  <si>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</si>
  <si>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</si>
  <si>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</si>
  <si>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</si>
  <si>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</si>
  <si>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</si>
  <si>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</si>
  <si>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</si>
  <si>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</si>
  <si>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</si>
  <si>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</si>
  <si>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</si>
  <si>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</si>
  <si>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</si>
  <si>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</si>
  <si>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</si>
  <si>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</si>
  <si>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</si>
  <si>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</si>
  <si>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</si>
  <si>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</si>
  <si>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</si>
  <si>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</si>
  <si>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</si>
  <si>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</si>
  <si>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</si>
  <si>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</si>
  <si>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</si>
  <si>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</si>
  <si>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</si>
  <si>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</si>
  <si>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</si>
  <si>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</si>
  <si>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</si>
  <si>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</si>
  <si>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</si>
  <si>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</si>
  <si>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</si>
  <si>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</si>
  <si>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</si>
  <si>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</si>
  <si>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</si>
  <si>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</si>
  <si>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</si>
  <si>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</si>
  <si>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</si>
  <si>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</si>
  <si>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</si>
  <si>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</si>
  <si>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</si>
  <si>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</si>
  <si>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</si>
  <si>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</si>
  <si>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</si>
  <si>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</si>
  <si>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</si>
  <si>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</si>
  <si>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</si>
  <si>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</si>
  <si>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</si>
  <si>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</si>
  <si>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</si>
  <si>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</si>
  <si>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</si>
  <si>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</si>
  <si>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</si>
  <si>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</si>
  <si>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</si>
  <si>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</si>
  <si>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</si>
  <si>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</si>
  <si>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</si>
  <si>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</si>
  <si>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</si>
  <si>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</si>
  <si>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</si>
  <si>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</si>
  <si>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</si>
  <si>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</si>
  <si>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</si>
  <si>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</si>
  <si>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</si>
  <si>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</si>
  <si>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</si>
  <si>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</si>
  <si>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</si>
  <si>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</si>
  <si>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</si>
  <si>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</si>
  <si>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</si>
  <si>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</si>
  <si>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</si>
  <si>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</si>
  <si>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</si>
  <si>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</si>
  <si>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</si>
  <si>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</si>
  <si>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</si>
  <si>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</si>
  <si>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</si>
  <si>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</si>
  <si>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</si>
  <si>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</si>
  <si>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</si>
  <si>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</si>
  <si>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</si>
  <si>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</si>
  <si>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</si>
  <si>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</si>
  <si>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</si>
  <si>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</si>
  <si>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</si>
  <si>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</si>
  <si>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</si>
  <si>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</si>
  <si>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</si>
  <si>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</si>
  <si>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</si>
  <si>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</si>
  <si>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</si>
  <si>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</si>
  <si>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</si>
  <si>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</si>
  <si>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</si>
  <si>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</si>
  <si>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</si>
  <si>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</si>
  <si>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</si>
  <si>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</si>
  <si>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</si>
  <si>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</si>
  <si>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</si>
  <si>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</si>
  <si>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</si>
  <si>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</si>
  <si>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</si>
  <si>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</si>
  <si>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</si>
  <si>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</si>
  <si>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</si>
  <si>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</si>
  <si>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</si>
  <si>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</si>
  <si>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</si>
  <si>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</si>
  <si>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</si>
  <si>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</si>
  <si>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</si>
  <si>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</si>
  <si>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</si>
  <si>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</si>
  <si>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</si>
  <si>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</si>
  <si>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</si>
  <si>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</si>
  <si>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</si>
  <si>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</si>
  <si>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</si>
  <si>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</si>
  <si>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</si>
  <si>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</si>
  <si>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</si>
  <si>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</si>
  <si>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</si>
  <si>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</si>
  <si>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</si>
  <si>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</si>
  <si>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</si>
  <si>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</si>
  <si>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</si>
  <si>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</si>
  <si>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</si>
  <si>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</si>
  <si>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</si>
  <si>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</si>
  <si>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</si>
  <si>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</si>
  <si>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</si>
  <si>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</si>
  <si>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</si>
  <si>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</si>
  <si>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</si>
  <si>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</si>
  <si>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</si>
  <si>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</si>
  <si>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</si>
  <si>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</si>
  <si>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</si>
  <si>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</si>
  <si>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</si>
  <si>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</si>
  <si>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</si>
  <si>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</si>
  <si>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</si>
  <si>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</si>
  <si>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</si>
  <si>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</si>
  <si>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</si>
  <si>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</si>
  <si>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</si>
  <si>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</si>
  <si>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</si>
  <si>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</si>
  <si>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</si>
  <si>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</si>
  <si>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</si>
  <si>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</si>
  <si>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</si>
  <si>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</si>
  <si>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</si>
  <si>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</si>
  <si>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</si>
  <si>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</si>
  <si>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</si>
  <si>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</si>
  <si>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</si>
  <si>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</si>
  <si>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</si>
  <si>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</si>
  <si>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</si>
  <si>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</si>
  <si>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</si>
  <si>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</si>
  <si>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</si>
  <si>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</si>
  <si>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</si>
  <si>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</si>
  <si>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</si>
  <si>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</si>
  <si>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</si>
  <si>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</si>
  <si>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</si>
  <si>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</si>
  <si>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</si>
  <si>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</si>
  <si>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</si>
  <si>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</si>
  <si>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</si>
  <si>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</si>
  <si>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</si>
  <si>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</si>
  <si>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</si>
  <si>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</si>
  <si>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</si>
  <si>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</si>
  <si>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</si>
  <si>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</si>
  <si>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</si>
  <si>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</si>
  <si>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</si>
  <si>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</si>
  <si>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</si>
  <si>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</si>
  <si>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</si>
  <si>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</si>
  <si>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</si>
  <si>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</si>
  <si>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</si>
  <si>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</si>
  <si>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</si>
  <si>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</si>
  <si>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</si>
  <si>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</si>
  <si>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</si>
  <si>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</si>
  <si>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</si>
  <si>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</si>
  <si>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</si>
  <si>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</si>
  <si>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</si>
  <si>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</si>
  <si>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</si>
  <si>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</si>
  <si>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</si>
  <si>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</si>
  <si>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</si>
  <si>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</si>
  <si>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</si>
  <si>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</si>
  <si>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</si>
  <si>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</si>
  <si>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</si>
  <si>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</si>
  <si>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</si>
  <si>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</si>
  <si>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</si>
  <si>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</si>
  <si>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</si>
  <si>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</si>
  <si>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</si>
  <si>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</si>
  <si>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</si>
  <si>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</si>
  <si>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</si>
  <si>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</si>
  <si>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</si>
  <si>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</si>
  <si>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</si>
  <si>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</si>
  <si>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</si>
  <si>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</si>
  <si>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</si>
  <si>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</si>
  <si>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</si>
  <si>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</si>
  <si>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</si>
  <si>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</si>
  <si>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</si>
  <si>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</si>
  <si>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</si>
  <si>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</si>
  <si>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</si>
  <si>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</si>
  <si>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</si>
  <si>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</si>
  <si>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</si>
  <si>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</si>
  <si>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</si>
  <si>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</si>
  <si>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</si>
  <si>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</si>
  <si>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</si>
  <si>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</si>
  <si>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</si>
  <si>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</si>
  <si>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</si>
  <si>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</si>
  <si>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</si>
  <si>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</si>
  <si>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</si>
  <si>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</si>
  <si>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</si>
  <si>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</si>
  <si>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</si>
  <si>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</si>
  <si>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</si>
  <si>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</si>
  <si>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</si>
  <si>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</si>
  <si>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</si>
  <si>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</si>
  <si>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</si>
  <si>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</si>
  <si>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</si>
  <si>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</si>
  <si>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</si>
  <si>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</si>
  <si>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</si>
  <si>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</si>
  <si>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</si>
  <si>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</si>
  <si>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</si>
  <si>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</si>
  <si>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</si>
  <si>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</si>
  <si>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</si>
  <si>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</si>
  <si>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</si>
  <si>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</si>
  <si>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</si>
  <si>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</si>
  <si>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</si>
  <si>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</si>
  <si>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</si>
  <si>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</si>
  <si>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</si>
  <si>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</si>
  <si>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</si>
  <si>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</si>
  <si>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</si>
  <si>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</si>
  <si>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</si>
  <si>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</si>
  <si>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</si>
  <si>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</si>
  <si>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</si>
  <si>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</si>
  <si>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</si>
  <si>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</si>
  <si>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</si>
  <si>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</si>
  <si>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</si>
  <si>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</si>
  <si>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</si>
  <si>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</si>
  <si>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</si>
  <si>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</si>
  <si>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</si>
  <si>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</si>
  <si>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</si>
  <si>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</si>
  <si>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</si>
  <si>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</si>
  <si>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</si>
  <si>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</si>
  <si>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</si>
  <si>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</si>
  <si>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</si>
  <si>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</si>
  <si>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</si>
  <si>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</si>
  <si>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</si>
  <si>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</si>
  <si>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</si>
  <si>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</si>
  <si>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</si>
  <si>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</si>
  <si>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</si>
  <si>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</si>
  <si>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</si>
  <si>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</si>
  <si>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</si>
  <si>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</si>
  <si>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</si>
  <si>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</si>
  <si>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</si>
  <si>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</si>
  <si>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</si>
  <si>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</si>
  <si>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</si>
  <si>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</si>
  <si>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</si>
  <si>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</si>
  <si>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</si>
  <si>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</si>
  <si>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</si>
  <si>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</si>
  <si>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</si>
  <si>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</si>
  <si>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</si>
  <si>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</si>
  <si>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</si>
  <si>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</si>
  <si>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</si>
  <si>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</si>
  <si>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</si>
  <si>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</si>
  <si>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</si>
  <si>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</si>
  <si>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</si>
  <si>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</si>
  <si>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</si>
  <si>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</si>
  <si>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</si>
  <si>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</si>
  <si>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</si>
  <si>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</si>
  <si>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</si>
  <si>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</si>
  <si>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</si>
  <si>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</si>
  <si>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</si>
  <si>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</si>
  <si>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</si>
  <si>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</si>
  <si>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</si>
  <si>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</si>
  <si>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</si>
  <si>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</si>
  <si>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</si>
  <si>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</si>
  <si>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</si>
  <si>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</si>
  <si>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</si>
  <si>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</si>
  <si>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</si>
  <si>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</si>
  <si>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</si>
  <si>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</si>
  <si>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</si>
  <si>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</si>
  <si>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</si>
  <si>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</si>
  <si>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</si>
  <si>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</si>
  <si>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</si>
  <si>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</si>
  <si>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</si>
  <si>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</si>
  <si>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</si>
  <si>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</si>
  <si>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</si>
  <si>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</si>
  <si>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</si>
  <si>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</si>
  <si>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</si>
  <si>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</si>
  <si>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</si>
  <si>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</si>
  <si>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</si>
  <si>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</si>
  <si>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</si>
  <si>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</si>
  <si>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</si>
  <si>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</si>
  <si>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</si>
  <si>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</si>
  <si>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</si>
  <si>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</si>
  <si>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</si>
  <si>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</si>
  <si>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</si>
  <si>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</si>
  <si>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</si>
  <si>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</si>
  <si>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</si>
  <si>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</si>
  <si>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</si>
  <si>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</si>
  <si>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</si>
  <si>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</si>
  <si>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</si>
  <si>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</si>
  <si>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</si>
  <si>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</si>
  <si>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</si>
  <si>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</si>
  <si>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</si>
  <si>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</si>
  <si>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</si>
  <si>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</si>
  <si>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</si>
  <si>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</si>
  <si>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</si>
  <si>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</si>
  <si>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</si>
  <si>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</si>
  <si>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</si>
  <si>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</si>
  <si>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</si>
  <si>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</si>
  <si>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</si>
  <si>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</si>
  <si>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</si>
  <si>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</si>
  <si>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</si>
  <si>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</si>
  <si>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</si>
  <si>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</si>
  <si>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</si>
  <si>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</si>
  <si>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</si>
  <si>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</si>
  <si>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</si>
  <si>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</si>
  <si>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</si>
  <si>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</si>
  <si>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</si>
  <si>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</si>
  <si>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</si>
  <si>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</si>
  <si>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</si>
  <si>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</si>
  <si>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</si>
  <si>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</si>
  <si>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</si>
  <si>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</si>
  <si>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</si>
  <si>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</si>
  <si>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</si>
  <si>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</si>
  <si>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</si>
  <si>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</si>
  <si>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</si>
  <si>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</si>
  <si>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</si>
  <si>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</si>
  <si>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</si>
  <si>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</si>
  <si>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</si>
  <si>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</si>
  <si>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</si>
  <si>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</si>
  <si>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</si>
  <si>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</si>
  <si>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</si>
  <si>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</si>
  <si>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</si>
  <si>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</si>
  <si>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</si>
  <si>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</si>
  <si>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</si>
  <si>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</si>
  <si>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</si>
  <si>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</si>
  <si>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</si>
  <si>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</si>
  <si>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</si>
  <si>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</si>
  <si>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</si>
  <si>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</si>
  <si>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</si>
  <si>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</si>
  <si>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</si>
  <si>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</si>
  <si>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</si>
  <si>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</si>
  <si>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</si>
  <si>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</si>
  <si>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</si>
  <si>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</si>
  <si>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</si>
  <si>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</si>
  <si>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</si>
  <si>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</si>
  <si>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</si>
  <si>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</si>
  <si>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</si>
  <si>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</si>
  <si>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</si>
  <si>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</si>
  <si>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</si>
  <si>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</si>
  <si>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</si>
  <si>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</si>
  <si>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</si>
  <si>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</si>
  <si>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</si>
  <si>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</si>
  <si>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</si>
  <si>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</si>
  <si>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</si>
  <si>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</si>
  <si>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</si>
  <si>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</si>
  <si>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</si>
  <si>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</si>
  <si>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</si>
  <si>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</si>
  <si>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</si>
  <si>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</si>
  <si>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</si>
  <si>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</si>
  <si>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</si>
  <si>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</si>
  <si>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</si>
  <si>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</si>
  <si>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</si>
  <si>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</si>
  <si>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</si>
  <si>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</si>
  <si>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</si>
  <si>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</si>
  <si>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</si>
  <si>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</si>
  <si>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</si>
  <si>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</si>
  <si>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</si>
  <si>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</si>
  <si>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</si>
  <si>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</si>
  <si>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</si>
  <si>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</si>
  <si>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</si>
  <si>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</si>
  <si>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</si>
  <si>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</si>
  <si>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</si>
  <si>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</si>
  <si>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</si>
  <si>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</si>
  <si>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</si>
  <si>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</si>
  <si>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</si>
  <si>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</si>
  <si>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</si>
  <si>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</si>
  <si>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</si>
  <si>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</si>
  <si>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</si>
  <si>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</si>
  <si>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</si>
  <si>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</si>
  <si>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</si>
  <si>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</si>
  <si>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</si>
  <si>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</si>
  <si>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</si>
  <si>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</si>
  <si>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</si>
  <si>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</si>
  <si>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</si>
  <si>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</si>
  <si>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</si>
  <si>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</si>
  <si>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</si>
  <si>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</si>
  <si>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</si>
  <si>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</si>
  <si>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</si>
  <si>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</si>
  <si>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</si>
  <si>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</si>
  <si>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</si>
  <si>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</si>
  <si>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</si>
  <si>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</si>
  <si>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</si>
  <si>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</si>
  <si>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</si>
  <si>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</si>
  <si>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</si>
  <si>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</si>
  <si>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</si>
  <si>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</si>
  <si>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</si>
  <si>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</si>
  <si>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</si>
  <si>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</si>
  <si>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</si>
  <si>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</si>
  <si>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</si>
  <si>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</si>
  <si>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</si>
  <si>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</si>
  <si>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</si>
  <si>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</si>
  <si>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</si>
  <si>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</si>
  <si>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</si>
  <si>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</si>
  <si>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</si>
  <si>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</si>
  <si>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</si>
  <si>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</si>
  <si>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</si>
  <si>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</si>
  <si>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</si>
  <si>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</si>
  <si>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</si>
  <si>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</si>
  <si>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</si>
  <si>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</si>
  <si>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</si>
  <si>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</si>
  <si>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</si>
  <si>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</si>
  <si>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</si>
  <si>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</si>
  <si>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</si>
  <si>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</si>
  <si>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</si>
  <si>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</si>
  <si>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</si>
  <si>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</si>
  <si>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</si>
  <si>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</si>
  <si>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</si>
  <si>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</si>
  <si>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</si>
  <si>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</si>
  <si>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</si>
  <si>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</si>
  <si>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</si>
  <si>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</si>
  <si>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</si>
  <si>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</si>
  <si>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</si>
  <si>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</si>
  <si>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</si>
  <si>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</si>
  <si>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</si>
  <si>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</si>
  <si>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</si>
  <si>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</si>
  <si>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</si>
  <si>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</si>
  <si>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</si>
  <si>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</si>
  <si>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</si>
  <si>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</si>
  <si>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</si>
  <si>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</si>
  <si>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</si>
  <si>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</si>
  <si>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</si>
  <si>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</si>
  <si>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</si>
  <si>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</si>
  <si>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</si>
  <si>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</si>
  <si>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</si>
  <si>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</si>
  <si>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</si>
  <si>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</si>
  <si>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</si>
  <si>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</si>
  <si>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</si>
  <si>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</si>
  <si>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</si>
  <si>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</si>
  <si>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</si>
  <si>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</si>
  <si>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</si>
  <si>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</si>
  <si>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</si>
  <si>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</si>
  <si>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</si>
  <si>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</si>
  <si>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</si>
  <si>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</si>
  <si>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</si>
  <si>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</si>
  <si>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</si>
  <si>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</si>
  <si>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</si>
  <si>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</si>
  <si>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</si>
  <si>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</si>
  <si>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</si>
  <si>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</si>
  <si>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</si>
  <si>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</si>
  <si>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</si>
  <si>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</si>
  <si>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</si>
  <si>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</si>
  <si>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</si>
  <si>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</si>
  <si>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</si>
  <si>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</si>
  <si>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</si>
  <si>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</si>
  <si>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</si>
  <si>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</si>
  <si>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</si>
  <si>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</si>
  <si>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</si>
  <si>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</si>
  <si>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</si>
  <si>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</si>
  <si>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</si>
  <si>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</si>
  <si>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</si>
  <si>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</si>
  <si>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</si>
  <si>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</si>
  <si>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</si>
  <si>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</si>
  <si>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</si>
  <si>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</si>
  <si>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</si>
  <si>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</si>
  <si>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</si>
  <si>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</si>
  <si>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</si>
  <si>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</si>
  <si>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</si>
  <si>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</si>
  <si>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</si>
  <si>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</si>
  <si>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</si>
  <si>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</si>
  <si>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</si>
  <si>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</si>
  <si>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</si>
  <si>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</si>
  <si>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</si>
  <si>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</si>
  <si>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</si>
  <si>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</si>
  <si>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</si>
  <si>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</si>
  <si>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</si>
  <si>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</si>
  <si>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</si>
  <si>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</si>
  <si>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</si>
  <si>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</si>
  <si>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</si>
  <si>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</si>
  <si>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</si>
  <si>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</si>
  <si>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</si>
  <si>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</si>
  <si>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</si>
  <si>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</si>
  <si>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</si>
  <si>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</si>
  <si>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</si>
  <si>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</si>
  <si>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</si>
  <si>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</si>
  <si>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</si>
  <si>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</si>
  <si>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</si>
  <si>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</si>
  <si>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</si>
  <si>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</si>
  <si>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</si>
  <si>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</si>
  <si>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</si>
  <si>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</si>
  <si>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</si>
  <si>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</si>
  <si>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</si>
  <si>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</si>
  <si>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</si>
  <si>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</si>
  <si>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</si>
  <si>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</si>
  <si>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</si>
  <si>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</si>
  <si>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</si>
  <si>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</si>
  <si>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</si>
  <si>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</si>
  <si>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</si>
  <si>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</si>
  <si>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</si>
  <si>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</si>
  <si>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</si>
  <si>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</si>
  <si>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</si>
  <si>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</si>
  <si>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</si>
  <si>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</si>
  <si>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</si>
  <si>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</si>
  <si>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</si>
  <si>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</si>
  <si>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</si>
  <si>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</si>
  <si>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</si>
  <si>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</si>
  <si>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</si>
  <si>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</si>
  <si>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</si>
  <si>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</si>
  <si>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</si>
  <si>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</si>
  <si>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</si>
  <si>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</si>
  <si>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</si>
  <si>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</si>
  <si>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</si>
  <si>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</si>
  <si>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</si>
  <si>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</si>
  <si>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</si>
  <si>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</si>
  <si>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</si>
  <si>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</si>
  <si>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</si>
  <si>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</si>
  <si>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</si>
  <si>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</si>
  <si>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</si>
  <si>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</si>
  <si>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</si>
  <si>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</si>
  <si>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</si>
  <si>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</si>
  <si>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</si>
  <si>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</si>
  <si>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</si>
  <si>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</si>
  <si>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</si>
  <si>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</si>
  <si>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</si>
  <si>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</si>
  <si>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</si>
  <si>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</si>
  <si>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</si>
  <si>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</si>
  <si>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</si>
  <si>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</si>
  <si>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</si>
  <si>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</si>
  <si>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</si>
  <si>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</si>
  <si>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</si>
  <si>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</si>
  <si>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</si>
  <si>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</si>
  <si>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</si>
  <si>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</si>
  <si>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</si>
  <si>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</si>
  <si>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</si>
  <si>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</si>
  <si>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</si>
  <si>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</si>
  <si>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</si>
  <si>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</si>
  <si>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</si>
  <si>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</si>
  <si>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</si>
  <si>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</si>
  <si>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</si>
  <si>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</si>
  <si>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</si>
  <si>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</si>
  <si>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</si>
  <si>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</si>
  <si>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</si>
  <si>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</si>
  <si>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</si>
  <si>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</si>
  <si>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</si>
  <si>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</si>
  <si>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</si>
  <si>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</si>
  <si>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</si>
  <si>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</si>
  <si>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</si>
  <si>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</si>
  <si>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</si>
  <si>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</si>
  <si>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</si>
  <si>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</si>
  <si>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</si>
  <si>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</si>
  <si>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</si>
  <si>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</si>
  <si>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</si>
  <si>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</si>
  <si>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</si>
  <si>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</si>
  <si>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</si>
  <si>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</si>
  <si>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</si>
  <si>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</si>
  <si>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</si>
  <si>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</si>
  <si>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</si>
  <si>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</si>
  <si>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</si>
  <si>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</si>
  <si>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</si>
  <si>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</si>
  <si>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</si>
  <si>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</si>
  <si>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</si>
  <si>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</si>
  <si>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</si>
  <si>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</si>
  <si>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</si>
  <si>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</si>
  <si>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</si>
  <si>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</si>
  <si>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</si>
  <si>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</si>
  <si>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</si>
  <si>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</si>
  <si>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</si>
  <si>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</si>
  <si>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</si>
  <si>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</si>
  <si>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</si>
  <si>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</si>
  <si>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</si>
  <si>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</si>
  <si>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</si>
  <si>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</si>
  <si>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</si>
  <si>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</si>
  <si>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</si>
  <si>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</si>
  <si>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</si>
  <si>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</si>
  <si>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</si>
  <si>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</si>
  <si>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</si>
  <si>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</si>
  <si>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</si>
  <si>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</si>
  <si>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</si>
  <si>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</si>
  <si>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</si>
  <si>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</si>
  <si>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</si>
  <si>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</si>
  <si>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</si>
  <si>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</si>
  <si>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</si>
  <si>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</si>
  <si>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</si>
  <si>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</si>
  <si>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</si>
  <si>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</si>
  <si>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</si>
  <si>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</si>
  <si>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</si>
  <si>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</si>
  <si>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</si>
  <si>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</si>
  <si>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</si>
  <si>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</si>
  <si>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</si>
  <si>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</si>
  <si>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</si>
  <si>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</si>
  <si>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</si>
  <si>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</si>
  <si>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</si>
  <si>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</si>
  <si>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</si>
  <si>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</si>
  <si>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</si>
  <si>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</si>
  <si>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</si>
  <si>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</si>
  <si>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</si>
  <si>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</si>
  <si>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</si>
  <si>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</si>
  <si>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</si>
  <si>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</si>
  <si>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</si>
  <si>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</si>
  <si>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</si>
  <si>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</si>
  <si>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</si>
  <si>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</si>
  <si>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</si>
  <si>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</si>
  <si>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</si>
  <si>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</si>
  <si>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</si>
  <si>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</si>
  <si>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</si>
  <si>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</si>
  <si>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</si>
  <si>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</si>
  <si>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</si>
  <si>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</si>
  <si>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</si>
  <si>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</si>
  <si>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</si>
  <si>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</si>
  <si>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</si>
  <si>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</si>
  <si>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</si>
  <si>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</si>
  <si>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</si>
  <si>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</si>
  <si>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</si>
  <si>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</si>
  <si>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</si>
  <si>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</si>
  <si>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</si>
  <si>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</si>
  <si>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</si>
  <si>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</si>
  <si>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</si>
  <si>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</si>
  <si>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</si>
  <si>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</si>
  <si>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</si>
  <si>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</si>
  <si>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</si>
  <si>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</si>
  <si>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</si>
  <si>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</si>
  <si>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</si>
  <si>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</si>
  <si>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</si>
  <si>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</si>
  <si>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</si>
  <si>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</si>
  <si>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</si>
  <si>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</si>
  <si>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</si>
  <si>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</si>
  <si>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</si>
  <si>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</si>
  <si>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</si>
  <si>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</si>
  <si>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</si>
  <si>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</si>
  <si>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</si>
  <si>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</si>
  <si>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</si>
  <si>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</si>
  <si>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</si>
  <si>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</si>
  <si>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</si>
  <si>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</si>
  <si>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</si>
  <si>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</si>
  <si>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</si>
  <si>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</si>
  <si>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</si>
  <si>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</si>
  <si>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</si>
  <si>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</si>
  <si>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</si>
  <si>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</si>
  <si>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</si>
  <si>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</si>
  <si>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</si>
  <si>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</si>
  <si>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</si>
  <si>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</si>
  <si>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</si>
  <si>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</si>
  <si>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</si>
  <si>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</si>
  <si>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</si>
  <si>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</si>
  <si>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</si>
  <si>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</si>
  <si>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</si>
  <si>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</si>
  <si>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</si>
  <si>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</si>
  <si>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</si>
  <si>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</si>
  <si>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</si>
  <si>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</si>
  <si>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</si>
  <si>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</si>
  <si>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</si>
  <si>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</si>
  <si>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</si>
  <si>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</si>
  <si>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</si>
  <si>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</si>
  <si>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</si>
  <si>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</si>
  <si>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</si>
  <si>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</si>
  <si>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</si>
  <si>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</si>
  <si>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</si>
  <si>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</si>
  <si>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</si>
  <si>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</si>
  <si>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</si>
  <si>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</si>
  <si>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</si>
  <si>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</si>
  <si>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</si>
  <si>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</si>
  <si>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</si>
  <si>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</si>
  <si>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</si>
  <si>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</si>
  <si>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</si>
  <si>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</si>
  <si>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</si>
  <si>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</si>
  <si>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</si>
  <si>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</si>
  <si>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</si>
  <si>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</si>
  <si>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</si>
  <si>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</si>
  <si>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</si>
  <si>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</si>
  <si>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</si>
  <si>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</si>
  <si>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</si>
  <si>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</si>
  <si>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</si>
  <si>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</si>
  <si>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</si>
  <si>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</si>
  <si>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</si>
  <si>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</si>
  <si>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</si>
  <si>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</si>
  <si>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</si>
  <si>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</si>
  <si>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</si>
  <si>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</si>
  <si>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</si>
  <si>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</si>
  <si>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</si>
  <si>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</si>
  <si>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</si>
  <si>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</si>
  <si>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</si>
  <si>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</si>
  <si>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</si>
  <si>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</si>
  <si>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</si>
  <si>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</si>
  <si>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</si>
  <si>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</si>
  <si>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</si>
  <si>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</si>
  <si>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</si>
  <si>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</si>
  <si>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</si>
  <si>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</si>
  <si>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</si>
  <si>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</si>
  <si>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</si>
  <si>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</si>
  <si>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</si>
  <si>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</si>
  <si>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</si>
  <si>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</si>
  <si>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</si>
  <si>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</si>
  <si>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</si>
  <si>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</si>
  <si>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</si>
  <si>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</si>
  <si>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</si>
  <si>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</si>
  <si>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</si>
  <si>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</si>
  <si>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</si>
  <si>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</si>
  <si>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</si>
  <si>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</si>
  <si>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</si>
  <si>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</si>
  <si>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</si>
  <si>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</si>
  <si>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</si>
  <si>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</si>
  <si>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</si>
  <si>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</si>
  <si>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</si>
  <si>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</si>
  <si>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</si>
  <si>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</si>
  <si>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</si>
  <si>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</si>
  <si>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</si>
  <si>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</si>
  <si>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</si>
  <si>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</si>
  <si>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</si>
  <si>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</si>
  <si>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</si>
  <si>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</si>
  <si>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</si>
  <si>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</si>
  <si>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</si>
  <si>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</si>
  <si>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</si>
  <si>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</si>
  <si>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</si>
  <si>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</si>
  <si>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</si>
  <si>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</si>
  <si>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</si>
  <si>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</si>
  <si>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</si>
  <si>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</si>
  <si>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</si>
  <si>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</si>
  <si>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</si>
  <si>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</si>
  <si>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</si>
  <si>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</si>
  <si>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</si>
  <si>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</si>
  <si>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</si>
  <si>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</si>
  <si>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</si>
  <si>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</si>
  <si>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</si>
  <si>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</si>
  <si>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</si>
  <si>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</si>
  <si>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</si>
  <si>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</si>
  <si>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</si>
  <si>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</si>
  <si>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</si>
  <si>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</si>
  <si>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</si>
  <si>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</si>
  <si>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</si>
  <si>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</si>
  <si>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</si>
  <si>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</si>
  <si>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</si>
  <si>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</si>
  <si>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</si>
  <si>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</si>
  <si>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</si>
  <si>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</si>
  <si>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</si>
  <si>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</si>
  <si>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</si>
  <si>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</si>
  <si>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</si>
  <si>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</si>
  <si>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</si>
  <si>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</si>
  <si>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</si>
  <si>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</si>
  <si>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</si>
  <si>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</si>
  <si>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</si>
  <si>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</si>
  <si>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</si>
  <si>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</si>
  <si>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</si>
  <si>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</si>
  <si>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</si>
  <si>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</si>
  <si>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</si>
  <si>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</si>
  <si>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</si>
  <si>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</si>
  <si>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</si>
  <si>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</si>
  <si>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</si>
  <si>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</si>
  <si>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</si>
  <si>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</si>
  <si>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</si>
  <si>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</si>
  <si>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</si>
  <si>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</si>
  <si>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</si>
  <si>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</si>
  <si>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</si>
  <si>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</si>
  <si>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</si>
  <si>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</si>
  <si>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</si>
  <si>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</si>
  <si>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</si>
  <si>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</si>
  <si>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</si>
  <si>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</si>
  <si>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</si>
  <si>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</si>
  <si>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</si>
  <si>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</si>
  <si>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</si>
  <si>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</si>
  <si>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</si>
  <si>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</si>
  <si>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</si>
  <si>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</si>
  <si>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</si>
  <si>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</si>
  <si>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</si>
  <si>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</si>
  <si>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</si>
  <si>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</si>
  <si>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</si>
  <si>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</si>
  <si>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</si>
  <si>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</si>
  <si>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</si>
  <si>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</si>
  <si>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</si>
  <si>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</si>
  <si>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</si>
  <si>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</si>
  <si>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</si>
  <si>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</si>
  <si>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</si>
  <si>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</si>
  <si>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</si>
  <si>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</si>
  <si>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</si>
  <si>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</si>
  <si>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</si>
  <si>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</si>
  <si>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</si>
  <si>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</si>
  <si>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</si>
  <si>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</si>
  <si>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</si>
  <si>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</si>
  <si>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</si>
  <si>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</si>
  <si>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</si>
  <si>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</si>
  <si>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</si>
  <si>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</si>
  <si>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</si>
  <si>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</si>
  <si>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</si>
  <si>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</si>
  <si>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</si>
  <si>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</si>
  <si>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</si>
  <si>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</si>
  <si>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</si>
  <si>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</si>
  <si>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</si>
  <si>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</si>
  <si>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</si>
  <si>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</si>
  <si>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</si>
  <si>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</si>
  <si>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</si>
  <si>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</si>
  <si>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</si>
  <si>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</si>
  <si>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</si>
  <si>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</si>
  <si>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</si>
  <si>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</si>
  <si>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</si>
  <si>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</si>
  <si>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</si>
  <si>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</si>
  <si>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</si>
  <si>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</si>
  <si>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</si>
  <si>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</si>
  <si>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</si>
  <si>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</si>
  <si>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</si>
  <si>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</si>
  <si>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</si>
  <si>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</si>
  <si>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</si>
  <si>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</si>
  <si>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</si>
  <si>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</si>
  <si>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</si>
  <si>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</si>
  <si>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</si>
  <si>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</si>
  <si>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</si>
  <si>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</si>
  <si>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</si>
  <si>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</si>
  <si>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</si>
  <si>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</si>
  <si>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</si>
  <si>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</si>
  <si>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</si>
  <si>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</si>
  <si>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</si>
  <si>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</si>
  <si>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</si>
  <si>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</si>
  <si>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</si>
  <si>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</si>
  <si>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</si>
  <si>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</si>
  <si>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</si>
  <si>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</si>
  <si>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</si>
  <si>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</si>
  <si>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</si>
  <si>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</si>
  <si>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</si>
  <si>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</si>
  <si>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</si>
  <si>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</si>
  <si>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</si>
  <si>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</si>
  <si>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</si>
  <si>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</si>
  <si>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</si>
  <si>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</si>
  <si>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</si>
  <si>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</si>
  <si>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</si>
  <si>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</si>
  <si>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</si>
  <si>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</si>
  <si>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</si>
  <si>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</si>
  <si>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</si>
  <si>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</si>
  <si>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</si>
  <si>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</si>
  <si>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</si>
  <si>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</si>
  <si>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</si>
  <si>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</si>
  <si>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</si>
  <si>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</si>
  <si>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</si>
  <si>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</si>
  <si>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</si>
  <si>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</si>
  <si>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</si>
  <si>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</si>
  <si>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</si>
  <si>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</si>
  <si>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</si>
  <si>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</si>
  <si>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</si>
  <si>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</si>
  <si>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</si>
  <si>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</si>
  <si>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</si>
  <si>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</si>
  <si>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</si>
  <si>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</si>
  <si>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</si>
  <si>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</si>
  <si>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</si>
  <si>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</si>
  <si>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</si>
  <si>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</si>
  <si>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</si>
  <si>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</si>
  <si>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</si>
  <si>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</si>
  <si>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</si>
  <si>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</si>
  <si>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</si>
  <si>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</si>
  <si>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</si>
  <si>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</si>
  <si>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</si>
  <si>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</si>
  <si>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</si>
  <si>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</si>
  <si>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</si>
  <si>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</si>
  <si>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</si>
  <si>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</si>
  <si>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</si>
  <si>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</si>
  <si>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</si>
  <si>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</si>
  <si>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</si>
  <si>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</si>
  <si>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</si>
  <si>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</si>
  <si>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</si>
  <si>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</si>
  <si>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</si>
  <si>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</si>
  <si>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</si>
  <si>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</si>
  <si>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</si>
  <si>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</si>
  <si>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</si>
  <si>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</si>
  <si>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</si>
  <si>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</si>
  <si>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</si>
  <si>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</si>
  <si>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</si>
  <si>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</si>
  <si>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</si>
  <si>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</si>
  <si>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</si>
  <si>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</si>
  <si>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</si>
  <si>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</si>
  <si>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</si>
  <si>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</si>
  <si>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</si>
  <si>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</si>
  <si>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</si>
  <si>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</si>
  <si>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</si>
  <si>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</si>
  <si>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</si>
  <si>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</si>
  <si>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</si>
  <si>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</si>
  <si>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</si>
  <si>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</si>
  <si>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</si>
  <si>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</si>
  <si>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</si>
  <si>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</si>
  <si>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</si>
  <si>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</si>
  <si>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</si>
  <si>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</si>
  <si>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</si>
  <si>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</si>
  <si>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</si>
  <si>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</si>
  <si>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</si>
  <si>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</si>
  <si>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</si>
  <si>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</si>
  <si>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</si>
  <si>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</si>
  <si>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</si>
  <si>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</si>
  <si>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</si>
  <si>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</si>
  <si>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</si>
  <si>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</si>
  <si>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</si>
  <si>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</si>
  <si>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</si>
  <si>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</si>
  <si>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</si>
  <si>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</si>
  <si>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</si>
  <si>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</si>
  <si>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</si>
  <si>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</si>
  <si>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</si>
  <si>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</si>
  <si>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</si>
  <si>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</si>
  <si>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</si>
  <si>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</si>
  <si>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</si>
  <si>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</si>
  <si>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</si>
  <si>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</si>
  <si>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</si>
  <si>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</si>
  <si>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</si>
  <si>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</si>
  <si>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</si>
  <si>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</si>
  <si>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</si>
  <si>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</si>
  <si>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</si>
  <si>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</si>
  <si>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</si>
  <si>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</si>
  <si>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</si>
  <si>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</si>
  <si>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</si>
  <si>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</si>
  <si>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</si>
  <si>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</si>
  <si>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</si>
  <si>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</si>
  <si>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</si>
  <si>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</si>
  <si>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</si>
  <si>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</si>
  <si>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</si>
  <si>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</si>
  <si>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</si>
  <si>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</si>
  <si>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</si>
  <si>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</si>
  <si>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</si>
  <si>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</si>
  <si>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</si>
  <si>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</si>
  <si>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</si>
  <si>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</si>
  <si>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</si>
  <si>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</si>
  <si>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</si>
  <si>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</si>
  <si>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</si>
  <si>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</si>
  <si>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</si>
  <si>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</si>
  <si>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</si>
  <si>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</si>
  <si>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</si>
  <si>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</si>
  <si>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</si>
  <si>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</si>
  <si>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</si>
  <si>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</si>
  <si>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</si>
  <si>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</si>
  <si>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</si>
  <si>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</si>
  <si>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</si>
  <si>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</si>
  <si>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</si>
  <si>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</si>
  <si>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</si>
  <si>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</si>
  <si>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</si>
  <si>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</si>
  <si>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</si>
  <si>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</si>
  <si>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</si>
  <si>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</si>
  <si>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</si>
  <si>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</si>
  <si>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</si>
  <si>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</si>
  <si>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</si>
  <si>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</si>
  <si>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</si>
  <si>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</si>
  <si>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</si>
  <si>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</si>
  <si>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</si>
  <si>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</si>
  <si>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</si>
  <si>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</si>
  <si>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</si>
  <si>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</si>
  <si>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</si>
  <si>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</si>
  <si>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</si>
  <si>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</si>
  <si>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</si>
  <si>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</si>
  <si>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</si>
  <si>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</si>
  <si>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</si>
  <si>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</si>
  <si>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</si>
  <si>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</si>
  <si>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</si>
  <si>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</si>
  <si>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</si>
  <si>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</si>
  <si>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</si>
  <si>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</si>
  <si>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</si>
  <si>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</si>
  <si>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</si>
  <si>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</si>
  <si>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</si>
  <si>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</si>
  <si>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</si>
  <si>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</si>
  <si>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</si>
  <si>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</si>
  <si>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</si>
  <si>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</si>
  <si>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</si>
  <si>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</si>
  <si>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</si>
  <si>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</si>
  <si>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</si>
  <si>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</si>
  <si>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</si>
  <si>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</si>
  <si>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</si>
  <si>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</si>
  <si>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</si>
  <si>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</si>
  <si>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</si>
  <si>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</si>
  <si>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</si>
  <si>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</si>
  <si>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</si>
  <si>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</si>
  <si>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</si>
  <si>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</si>
  <si>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</si>
  <si>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</si>
  <si>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</si>
  <si>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</si>
  <si>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</si>
  <si>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</si>
  <si>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</si>
  <si>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</si>
  <si>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</si>
  <si>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</si>
  <si>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</si>
  <si>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</si>
  <si>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</si>
  <si>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</si>
  <si>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</si>
  <si>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</si>
  <si>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</si>
  <si>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</si>
  <si>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</si>
  <si>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</si>
  <si>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</si>
  <si>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</si>
  <si>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</si>
  <si>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</si>
  <si>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</si>
  <si>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</si>
  <si>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</si>
  <si>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</si>
  <si>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</si>
  <si>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</si>
  <si>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</si>
  <si>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</si>
  <si>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</si>
  <si>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</si>
  <si>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</si>
  <si>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</si>
  <si>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</si>
  <si>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</si>
  <si>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</si>
  <si>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</si>
  <si>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</si>
  <si>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</si>
  <si>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</si>
  <si>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</si>
  <si>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</si>
  <si>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</si>
  <si>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</si>
  <si>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</si>
  <si>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</si>
  <si>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</si>
  <si>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</si>
  <si>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</si>
  <si>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</si>
  <si>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</si>
  <si>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</si>
  <si>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</si>
  <si>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</si>
  <si>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</si>
  <si>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</si>
  <si>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</si>
  <si>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</si>
  <si>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</si>
  <si>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</si>
  <si>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</si>
  <si>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</si>
  <si>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</si>
  <si>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</si>
  <si>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</si>
  <si>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</si>
  <si>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</si>
  <si>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</si>
  <si>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</si>
  <si>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</si>
  <si>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</si>
  <si>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</si>
  <si>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</si>
  <si>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</si>
  <si>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</si>
  <si>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</si>
  <si>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</si>
  <si>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</si>
  <si>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</si>
  <si>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</si>
  <si>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</si>
  <si>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</si>
  <si>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</si>
  <si>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</si>
  <si>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</si>
  <si>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</si>
  <si>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</si>
  <si>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</si>
  <si>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</si>
  <si>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</si>
  <si>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</si>
  <si>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</si>
  <si>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</si>
  <si>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</si>
  <si>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</si>
  <si>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</si>
  <si>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</si>
  <si>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</si>
  <si>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</si>
  <si>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</si>
  <si>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</si>
  <si>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</si>
  <si>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</si>
  <si>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</si>
  <si>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</si>
  <si>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</si>
  <si>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</si>
  <si>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</si>
  <si>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</si>
  <si>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</si>
  <si>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</si>
  <si>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</si>
  <si>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</si>
  <si>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</si>
  <si>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</si>
  <si>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</si>
  <si>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</si>
  <si>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</si>
  <si>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</si>
  <si>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</si>
  <si>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</si>
  <si>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</si>
  <si>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</si>
  <si>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</si>
  <si>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</si>
  <si>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</si>
  <si>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</si>
  <si>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</si>
  <si>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</si>
  <si>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</si>
  <si>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</si>
  <si>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</si>
  <si>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</si>
  <si>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</si>
  <si>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</si>
  <si>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</si>
  <si>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</si>
  <si>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</si>
  <si>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</si>
  <si>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</si>
  <si>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</si>
  <si>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</si>
  <si>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</si>
  <si>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</si>
  <si>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</si>
  <si>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</si>
  <si>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</si>
  <si>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</si>
  <si>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</si>
  <si>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</si>
  <si>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</si>
  <si>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</si>
  <si>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</si>
  <si>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</si>
  <si>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</si>
  <si>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</si>
  <si>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</si>
  <si>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</si>
  <si>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</si>
  <si>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</si>
  <si>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</si>
  <si>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</si>
  <si>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</si>
  <si>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</si>
  <si>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</si>
  <si>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</si>
  <si>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</si>
  <si>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</si>
  <si>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</si>
  <si>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</si>
  <si>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</si>
  <si>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</si>
  <si>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</si>
  <si>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</si>
  <si>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</si>
  <si>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</si>
  <si>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</si>
  <si>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</si>
  <si>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</si>
  <si>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</si>
  <si>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</si>
  <si>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</si>
  <si>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</si>
  <si>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</si>
  <si>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</si>
  <si>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</si>
  <si>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</si>
  <si>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</si>
  <si>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</si>
  <si>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</si>
  <si>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</si>
  <si>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</si>
  <si>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</si>
  <si>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</si>
  <si>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</si>
  <si>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</si>
  <si>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</si>
  <si>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</si>
  <si>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</si>
  <si>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</si>
  <si>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</si>
  <si>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</si>
  <si>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</si>
  <si>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</si>
  <si>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</si>
  <si>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</si>
  <si>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</si>
  <si>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</si>
  <si>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</si>
  <si>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</si>
  <si>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</si>
  <si>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</si>
  <si>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</si>
  <si>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</si>
  <si>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</si>
  <si>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</si>
  <si>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</si>
  <si>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</si>
  <si>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</si>
  <si>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</si>
  <si>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</si>
  <si>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</si>
  <si>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</si>
  <si>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</si>
  <si>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</si>
  <si>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</si>
  <si>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</si>
  <si>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</si>
  <si>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</si>
  <si>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</si>
  <si>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</si>
  <si>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</si>
  <si>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</si>
  <si>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</si>
  <si>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</si>
  <si>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</si>
  <si>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</si>
  <si>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</si>
  <si>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</si>
  <si>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</si>
  <si>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</si>
  <si>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</si>
  <si>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</si>
  <si>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</si>
  <si>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</si>
  <si>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</si>
  <si>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</si>
  <si>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</si>
  <si>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</si>
  <si>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</si>
  <si>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</si>
  <si>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</si>
  <si>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</si>
  <si>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</si>
  <si>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</si>
  <si>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</si>
  <si>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</si>
  <si>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</si>
  <si>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</si>
  <si>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</si>
  <si>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</si>
  <si>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</si>
  <si>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</si>
  <si>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</si>
  <si>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</si>
  <si>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</si>
  <si>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</si>
  <si>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</si>
  <si>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</si>
  <si>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</si>
  <si>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</si>
  <si>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</si>
  <si>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</si>
  <si>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</si>
  <si>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</si>
  <si>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</si>
  <si>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</si>
  <si>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</si>
  <si>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</si>
  <si>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</si>
  <si>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</si>
  <si>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</si>
  <si>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</si>
  <si>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</si>
  <si>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</si>
  <si>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</si>
  <si>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</si>
  <si>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</si>
  <si>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</si>
  <si>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</si>
  <si>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</si>
  <si>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</si>
  <si>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</si>
  <si>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</si>
  <si>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</si>
  <si>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</si>
  <si>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</si>
  <si>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</si>
  <si>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</si>
  <si>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</si>
  <si>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</si>
  <si>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</si>
  <si>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</si>
  <si>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</si>
  <si>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</si>
  <si>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</si>
  <si>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</si>
  <si>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</si>
  <si>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</si>
  <si>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</si>
  <si>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</si>
  <si>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</si>
  <si>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</si>
  <si>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</si>
  <si>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</si>
  <si>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</si>
  <si>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</si>
  <si>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</si>
  <si>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</si>
  <si>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</si>
  <si>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</si>
  <si>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</si>
  <si>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</si>
  <si>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</si>
  <si>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</si>
  <si>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</si>
  <si>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</si>
  <si>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</si>
  <si>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</si>
  <si>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</si>
  <si>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</si>
  <si>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</si>
  <si>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</si>
  <si>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</si>
  <si>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</si>
  <si>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</si>
  <si>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</si>
  <si>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</si>
  <si>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</si>
  <si>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</si>
  <si>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</si>
  <si>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</si>
  <si>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</si>
  <si>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</si>
  <si>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</si>
  <si>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</si>
  <si>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</si>
  <si>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</si>
  <si>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</si>
  <si>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</si>
  <si>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</si>
  <si>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</si>
  <si>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</si>
  <si>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</si>
  <si>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</si>
  <si>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</si>
  <si>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</si>
  <si>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</si>
  <si>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</si>
  <si>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</si>
  <si>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</si>
  <si>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</si>
  <si>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</si>
  <si>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</si>
  <si>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</si>
  <si>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</si>
  <si>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</si>
  <si>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</si>
  <si>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</si>
  <si>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</si>
  <si>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</si>
  <si>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</si>
  <si>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</si>
  <si>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</si>
  <si>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</si>
  <si>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</si>
  <si>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</si>
  <si>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</si>
  <si>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</si>
  <si>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</si>
  <si>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</si>
  <si>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</si>
  <si>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</si>
  <si>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</si>
  <si>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</si>
  <si>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</si>
  <si>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</si>
  <si>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</si>
  <si>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</si>
  <si>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</si>
  <si>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</si>
  <si>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</si>
  <si>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</si>
  <si>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</si>
  <si>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</si>
  <si>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</si>
  <si>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</si>
  <si>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</si>
  <si>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</si>
  <si>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</si>
  <si>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</si>
  <si>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</si>
  <si>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</si>
  <si>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</si>
  <si>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</si>
  <si>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</si>
  <si>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</si>
  <si>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</si>
  <si>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</si>
  <si>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</si>
  <si>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</si>
  <si>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</si>
  <si>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</si>
  <si>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</si>
  <si>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</si>
  <si>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</si>
  <si>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</si>
  <si>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</si>
  <si>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</si>
  <si>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</si>
  <si>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</si>
  <si>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</si>
  <si>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</si>
  <si>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</si>
  <si>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</si>
  <si>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</si>
  <si>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</si>
  <si>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</si>
  <si>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</si>
  <si>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</si>
  <si>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</si>
  <si>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</si>
  <si>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</si>
  <si>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</si>
  <si>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</si>
  <si>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</si>
  <si>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</si>
  <si>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</si>
  <si>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</si>
  <si>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</si>
  <si>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</si>
  <si>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</si>
  <si>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</si>
  <si>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</si>
  <si>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</si>
  <si>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</si>
  <si>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</si>
  <si>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</si>
  <si>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</si>
  <si>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</si>
  <si>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</si>
  <si>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</si>
  <si>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</si>
  <si>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</si>
  <si>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</si>
  <si>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</si>
  <si>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</si>
  <si>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</si>
  <si>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</si>
  <si>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</si>
  <si>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</si>
  <si>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</si>
  <si>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</si>
  <si>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</si>
  <si>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</si>
  <si>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</si>
  <si>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</si>
  <si>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</si>
  <si>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</si>
  <si>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</si>
  <si>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</si>
  <si>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</si>
  <si>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</si>
  <si>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</si>
  <si>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</si>
  <si>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</si>
  <si>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</si>
  <si>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</si>
  <si>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</si>
  <si>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</si>
  <si>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</si>
  <si>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</si>
  <si>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</si>
  <si>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</si>
  <si>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</si>
  <si>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</si>
  <si>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</si>
  <si>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</si>
  <si>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</si>
  <si>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</si>
  <si>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</si>
  <si>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</si>
  <si>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</si>
  <si>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</si>
  <si>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</si>
  <si>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</si>
  <si>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</si>
  <si>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</si>
  <si>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</si>
  <si>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</si>
  <si>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</si>
  <si>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</si>
  <si>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</si>
  <si>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</si>
  <si>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</si>
  <si>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</si>
  <si>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</si>
  <si>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</si>
  <si>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</si>
  <si>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</si>
  <si>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</si>
  <si>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</si>
  <si>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</si>
  <si>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</si>
  <si>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</si>
  <si>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</si>
  <si>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</si>
  <si>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</si>
  <si>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</si>
  <si>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</si>
  <si>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</si>
  <si>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</si>
  <si>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</si>
  <si>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</si>
  <si>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</si>
  <si>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</si>
  <si>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</si>
  <si>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</si>
  <si>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</si>
  <si>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</si>
  <si>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</si>
  <si>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</si>
  <si>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</si>
  <si>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</si>
  <si>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</si>
  <si>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</si>
  <si>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</si>
  <si>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</si>
  <si>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</si>
  <si>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</si>
  <si>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</si>
  <si>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</si>
  <si>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</si>
  <si>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</si>
  <si>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</si>
  <si>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</si>
  <si>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</si>
  <si>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</si>
  <si>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</si>
  <si>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</si>
  <si>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</si>
  <si>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</si>
  <si>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</si>
  <si>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</si>
  <si>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</si>
  <si>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</si>
  <si>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</si>
  <si>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</si>
  <si>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</si>
  <si>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</si>
  <si>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</si>
  <si>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</si>
  <si>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</si>
  <si>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</si>
  <si>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</si>
  <si>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</si>
  <si>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</si>
  <si>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</si>
  <si>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</si>
  <si>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</si>
  <si>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</si>
  <si>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</si>
  <si>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</si>
  <si>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</si>
  <si>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</si>
  <si>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</si>
  <si>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</si>
  <si>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</si>
  <si>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</si>
  <si>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</si>
  <si>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</si>
  <si>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</si>
  <si>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</si>
  <si>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</si>
  <si>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</si>
  <si>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</si>
  <si>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</si>
  <si>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</si>
  <si>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</si>
  <si>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</si>
  <si>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</si>
  <si>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</si>
  <si>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</si>
  <si>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</si>
  <si>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</si>
  <si>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</si>
  <si>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</si>
  <si>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</si>
  <si>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</si>
  <si>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</si>
  <si>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</si>
  <si>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</si>
  <si>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</si>
  <si>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</si>
  <si>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</si>
  <si>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</si>
  <si>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</si>
  <si>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</si>
  <si>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</si>
  <si>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</si>
  <si>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</si>
  <si>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</si>
  <si>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</si>
  <si>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</si>
  <si>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</si>
  <si>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</si>
  <si>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</si>
  <si>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</si>
  <si>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</si>
  <si>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</si>
  <si>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</si>
  <si>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</si>
  <si>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</si>
  <si>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</si>
  <si>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</si>
  <si>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</si>
  <si>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</si>
  <si>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</si>
  <si>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</si>
  <si>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</si>
  <si>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</si>
  <si>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</si>
  <si>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</si>
  <si>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</si>
  <si>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</si>
  <si>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</si>
  <si>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</si>
  <si>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</si>
  <si>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</si>
  <si>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</si>
  <si>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</si>
  <si>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</si>
  <si>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</si>
  <si>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</si>
  <si>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</si>
  <si>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</si>
  <si>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</si>
  <si>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</si>
  <si>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</si>
  <si>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</si>
  <si>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</si>
  <si>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</si>
  <si>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</si>
  <si>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</si>
  <si>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</si>
  <si>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</si>
  <si>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</si>
  <si>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</si>
  <si>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</si>
  <si>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</si>
  <si>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</si>
  <si>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</si>
  <si>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</si>
  <si>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</si>
  <si>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</si>
  <si>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</si>
  <si>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</si>
  <si>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</si>
  <si>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</si>
  <si>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</si>
  <si>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</si>
  <si>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</si>
  <si>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</si>
  <si>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</si>
  <si>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</si>
  <si>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</si>
  <si>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</si>
  <si>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</si>
  <si>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</si>
  <si>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</si>
  <si>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</si>
  <si>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</si>
  <si>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</si>
  <si>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</si>
  <si>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</si>
  <si>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</si>
  <si>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</si>
  <si>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</si>
  <si>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</si>
  <si>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</si>
  <si>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</si>
  <si>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</si>
  <si>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</si>
  <si>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</si>
  <si>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</si>
  <si>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</si>
  <si>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</si>
  <si>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</si>
  <si>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</si>
  <si>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</si>
  <si>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</si>
  <si>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</si>
  <si>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</si>
  <si>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</si>
  <si>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</si>
  <si>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</si>
  <si>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</si>
  <si>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</si>
  <si>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</si>
  <si>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</si>
  <si>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</si>
  <si>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</si>
  <si>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</si>
  <si>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</si>
  <si>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</si>
  <si>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</si>
  <si>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</si>
  <si>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</si>
  <si>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</si>
  <si>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</si>
  <si>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</si>
  <si>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</si>
  <si>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</si>
  <si>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</si>
  <si>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</si>
  <si>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</si>
  <si>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</si>
  <si>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</si>
  <si>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</si>
  <si>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</si>
  <si>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</si>
  <si>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</si>
  <si>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</si>
  <si>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</si>
  <si>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</si>
  <si>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</si>
  <si>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</si>
  <si>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</si>
  <si>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</si>
  <si>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</si>
  <si>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</si>
  <si>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</si>
  <si>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</si>
  <si>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</si>
  <si>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</si>
  <si>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</si>
  <si>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</si>
  <si>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</si>
  <si>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</si>
  <si>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</si>
  <si>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</si>
  <si>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</si>
  <si>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</si>
  <si>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</si>
  <si>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</si>
  <si>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</si>
  <si>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</si>
  <si>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</si>
  <si>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</si>
  <si>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</si>
  <si>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</si>
  <si>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</si>
  <si>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</si>
  <si>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</si>
  <si>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</si>
  <si>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</si>
  <si>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</si>
  <si>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</si>
  <si>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</si>
  <si>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</si>
  <si>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</si>
  <si>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</si>
  <si>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</si>
  <si>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</si>
  <si>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</si>
  <si>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</si>
  <si>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</si>
  <si>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</si>
  <si>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</si>
  <si>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</si>
  <si>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</si>
  <si>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</si>
  <si>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</si>
  <si>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</si>
  <si>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</si>
  <si>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</si>
  <si>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</si>
  <si>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</si>
  <si>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</si>
  <si>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</si>
  <si>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</si>
  <si>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</si>
  <si>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</si>
  <si>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</si>
  <si>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</si>
  <si>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</si>
  <si>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</si>
  <si>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</si>
  <si>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</si>
  <si>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</si>
  <si>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</si>
  <si>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</si>
  <si>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</si>
  <si>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</si>
  <si>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</si>
  <si>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</si>
  <si>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</si>
  <si>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</si>
  <si>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</si>
  <si>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</si>
  <si>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</si>
  <si>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</si>
  <si>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</si>
  <si>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</si>
  <si>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</si>
  <si>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</si>
  <si>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</si>
  <si>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</si>
  <si>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</si>
  <si>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</si>
  <si>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</si>
  <si>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</si>
  <si>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</si>
  <si>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</si>
  <si>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</si>
  <si>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</si>
  <si>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</si>
  <si>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</si>
  <si>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</si>
  <si>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</si>
  <si>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</si>
  <si>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</si>
  <si>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</si>
  <si>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</si>
  <si>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</si>
  <si>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</si>
  <si>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</si>
  <si>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</si>
  <si>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</si>
  <si>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</si>
  <si>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</si>
  <si>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</si>
  <si>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</si>
  <si>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</si>
  <si>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</si>
  <si>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</si>
  <si>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</si>
  <si>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</si>
  <si>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</si>
  <si>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</si>
  <si>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</si>
  <si>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</si>
  <si>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</si>
  <si>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</si>
  <si>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</si>
  <si>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</si>
  <si>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</si>
  <si>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</si>
  <si>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</si>
  <si>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</si>
  <si>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</si>
  <si>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</si>
  <si>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</si>
  <si>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</si>
  <si>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</si>
  <si>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</si>
  <si>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</si>
  <si>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</si>
  <si>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</si>
  <si>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</si>
  <si>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</si>
  <si>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</si>
  <si>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</si>
  <si>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</si>
  <si>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</si>
  <si>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</si>
  <si>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</si>
  <si>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</si>
  <si>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</si>
  <si>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</si>
  <si>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</si>
  <si>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</si>
  <si>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</si>
  <si>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</si>
  <si>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</si>
  <si>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</si>
  <si>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</si>
  <si>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</si>
  <si>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</si>
  <si>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</si>
  <si>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</si>
  <si>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</si>
  <si>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</si>
  <si>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</si>
  <si>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</si>
  <si>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</si>
  <si>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</si>
  <si>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</si>
  <si>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</si>
  <si>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</si>
  <si>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</si>
  <si>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</si>
  <si>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</si>
  <si>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</si>
  <si>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</si>
  <si>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</si>
  <si>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</si>
  <si>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</si>
  <si>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</si>
  <si>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</si>
  <si>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</si>
  <si>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</si>
  <si>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</si>
  <si>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</si>
  <si>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</si>
  <si>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</si>
  <si>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</si>
  <si>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</si>
  <si>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</si>
  <si>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</si>
  <si>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</si>
  <si>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</si>
  <si>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</si>
  <si>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</si>
  <si>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</si>
  <si>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</si>
  <si>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</si>
  <si>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</si>
  <si>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</si>
  <si>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</si>
  <si>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</si>
  <si>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</si>
  <si>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</si>
  <si>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</si>
  <si>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</si>
  <si>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</si>
  <si>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</si>
  <si>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</si>
  <si>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</si>
  <si>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</si>
  <si>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</si>
  <si>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</si>
  <si>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</si>
  <si>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</si>
  <si>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</si>
  <si>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</si>
  <si>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</si>
  <si>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</si>
  <si>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</si>
  <si>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</si>
  <si>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</si>
  <si>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</si>
  <si>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</si>
  <si>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</si>
  <si>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</si>
  <si>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</si>
  <si>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</si>
  <si>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</si>
  <si>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</si>
  <si>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</si>
  <si>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</si>
  <si>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</si>
  <si>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</si>
  <si>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</si>
  <si>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</si>
  <si>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</si>
  <si>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</si>
  <si>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</si>
  <si>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</si>
  <si>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</si>
  <si>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</si>
  <si>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</si>
  <si>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</si>
  <si>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</si>
  <si>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</si>
  <si>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</si>
  <si>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</si>
  <si>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</si>
  <si>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</si>
  <si>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</si>
  <si>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</si>
  <si>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</si>
  <si>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</si>
  <si>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</si>
  <si>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</si>
  <si>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</si>
  <si>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</si>
  <si>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</si>
  <si>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</si>
  <si>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</si>
  <si>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</si>
  <si>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</si>
  <si>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</si>
  <si>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</si>
  <si>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</si>
  <si>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</si>
  <si>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</si>
  <si>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</si>
  <si>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</si>
  <si>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</si>
  <si>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</si>
  <si>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</si>
  <si>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</si>
  <si>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</si>
  <si>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</si>
  <si>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</si>
  <si>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</si>
  <si>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</si>
  <si>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</si>
  <si>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</si>
  <si>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</si>
  <si>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</si>
  <si>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</si>
  <si>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</si>
  <si>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</si>
  <si>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</si>
  <si>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</si>
  <si>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</si>
  <si>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</si>
  <si>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</si>
  <si>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</si>
  <si>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</si>
  <si>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</si>
  <si>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</si>
  <si>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</si>
  <si>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</si>
  <si>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</si>
  <si>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</si>
  <si>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</si>
  <si>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</si>
  <si>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</si>
  <si>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</si>
  <si>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</si>
  <si>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</si>
  <si>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</si>
  <si>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</si>
  <si>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</si>
  <si>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</si>
  <si>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</si>
  <si>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</si>
  <si>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</si>
  <si>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</si>
  <si>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</si>
  <si>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</si>
  <si>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</si>
  <si>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</si>
  <si>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</si>
  <si>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</si>
  <si>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</si>
  <si>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</si>
  <si>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</si>
  <si>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</si>
  <si>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</si>
  <si>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</si>
  <si>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</si>
  <si>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</si>
  <si>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</si>
  <si>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</si>
  <si>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</si>
  <si>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</si>
  <si>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</si>
  <si>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</si>
  <si>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</si>
  <si>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</si>
  <si>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</si>
  <si>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</si>
  <si>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</si>
  <si>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</si>
  <si>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</si>
  <si>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</si>
  <si>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</si>
  <si>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</si>
  <si>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</si>
  <si>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</si>
  <si>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</si>
  <si>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</si>
  <si>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</si>
  <si>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</si>
  <si>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</si>
  <si>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</si>
  <si>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</si>
  <si>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</si>
  <si>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</si>
  <si>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</si>
  <si>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</si>
  <si>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</si>
  <si>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</si>
  <si>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</si>
  <si>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</si>
  <si>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</si>
  <si>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</si>
  <si>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</si>
  <si>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</si>
  <si>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</si>
  <si>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</si>
  <si>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</si>
  <si>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</si>
  <si>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</si>
  <si>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</si>
  <si>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</si>
  <si>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</si>
  <si>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</si>
  <si>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</si>
  <si>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</si>
  <si>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</si>
  <si>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</si>
  <si>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</si>
  <si>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</si>
  <si>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</si>
  <si>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</si>
  <si>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</si>
  <si>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</si>
  <si>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</si>
  <si>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</si>
  <si>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</si>
  <si>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</si>
  <si>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</si>
  <si>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</si>
  <si>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</si>
  <si>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</si>
  <si>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</si>
  <si>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</si>
  <si>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</si>
  <si>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</si>
  <si>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</si>
  <si>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</si>
  <si>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</si>
  <si>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</si>
  <si>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</si>
  <si>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</si>
  <si>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</si>
  <si>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</si>
  <si>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</si>
  <si>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</si>
  <si>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</si>
  <si>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</si>
  <si>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</si>
  <si>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</si>
  <si>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</si>
  <si>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</si>
  <si>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</si>
  <si>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</si>
  <si>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</si>
  <si>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</si>
  <si>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</si>
  <si>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</si>
  <si>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</si>
  <si>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</si>
  <si>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</si>
  <si>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</si>
  <si>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</si>
  <si>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</si>
  <si>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</si>
  <si>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</si>
  <si>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</si>
  <si>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</si>
  <si>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</si>
  <si>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</si>
  <si>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</si>
  <si>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</si>
  <si>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</si>
  <si>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</si>
  <si>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</si>
  <si>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</si>
  <si>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</si>
  <si>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</si>
  <si>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</si>
  <si>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</si>
  <si>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</si>
  <si>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</si>
  <si>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</si>
  <si>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</si>
  <si>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</si>
  <si>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</si>
  <si>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</si>
  <si>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</si>
  <si>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</si>
  <si>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</si>
  <si>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</si>
  <si>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</si>
  <si>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</si>
  <si>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</si>
  <si>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</si>
  <si>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</si>
  <si>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</si>
  <si>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</si>
  <si>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</si>
  <si>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</si>
  <si>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</si>
  <si>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</si>
  <si>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</si>
  <si>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</si>
  <si>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</si>
  <si>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</si>
  <si>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</si>
  <si>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</si>
  <si>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</si>
  <si>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</si>
  <si>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</si>
  <si>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</si>
  <si>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</si>
  <si>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</si>
  <si>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</si>
  <si>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</si>
  <si>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</si>
  <si>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</si>
  <si>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</si>
  <si>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</si>
  <si>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</si>
  <si>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</si>
  <si>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</si>
  <si>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</si>
  <si>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</si>
  <si>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</si>
  <si>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</si>
  <si>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</si>
  <si>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</si>
  <si>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</si>
  <si>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</si>
  <si>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</si>
  <si>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</si>
  <si>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</si>
  <si>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</si>
  <si>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</si>
  <si>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</si>
  <si>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</si>
  <si>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</si>
  <si>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</si>
  <si>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</si>
  <si>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</si>
  <si>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</si>
  <si>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</si>
  <si>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</si>
  <si>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</si>
  <si>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</si>
  <si>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</si>
  <si>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</si>
  <si>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</si>
  <si>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</si>
  <si>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</si>
  <si>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</si>
  <si>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</si>
  <si>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</si>
  <si>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</si>
  <si>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</si>
  <si>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</si>
  <si>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</si>
  <si>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</si>
  <si>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</si>
  <si>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</si>
  <si>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</si>
  <si>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</si>
  <si>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</si>
  <si>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</si>
  <si>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</si>
  <si>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</si>
  <si>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</si>
  <si>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</si>
  <si>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</si>
  <si>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</si>
  <si>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</si>
  <si>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</si>
  <si>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</si>
  <si>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</si>
  <si>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</si>
  <si>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</si>
  <si>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</si>
  <si>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</si>
  <si>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</si>
  <si>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</si>
  <si>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</si>
  <si>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</si>
  <si>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</si>
  <si>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</si>
  <si>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</si>
  <si>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</si>
  <si>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</si>
  <si>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</si>
  <si>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</si>
  <si>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</si>
  <si>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</si>
  <si>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</si>
  <si>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</si>
  <si>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</si>
  <si>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</si>
  <si>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</si>
  <si>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</si>
  <si>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</si>
  <si>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</si>
  <si>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</si>
  <si>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</si>
  <si>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</si>
  <si>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</si>
  <si>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</si>
  <si>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</si>
  <si>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</si>
  <si>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</si>
  <si>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</si>
  <si>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</si>
  <si>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</si>
  <si>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</si>
  <si>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</si>
  <si>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</si>
  <si>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</si>
  <si>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</si>
  <si>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</si>
  <si>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</si>
  <si>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</si>
  <si>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</si>
  <si>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</si>
  <si>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</si>
  <si>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</si>
  <si>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</si>
  <si>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</si>
  <si>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</si>
  <si>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</si>
  <si>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</si>
  <si>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</si>
  <si>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</si>
  <si>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</si>
  <si>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</si>
  <si>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</si>
  <si>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</si>
  <si>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</si>
  <si>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</si>
  <si>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</si>
  <si>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</si>
  <si>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</si>
  <si>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</si>
  <si>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</si>
  <si>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</si>
  <si>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</si>
  <si>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</si>
  <si>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</si>
  <si>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</si>
  <si>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</si>
  <si>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</si>
  <si>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</si>
  <si>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</si>
  <si>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</si>
  <si>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</si>
  <si>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</si>
  <si>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</si>
  <si>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</si>
  <si>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</si>
  <si>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</si>
  <si>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</si>
  <si>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</si>
  <si>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</si>
  <si>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</si>
  <si>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</si>
  <si>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</si>
  <si>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</si>
  <si>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</si>
  <si>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</si>
  <si>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</si>
  <si>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</si>
  <si>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</si>
  <si>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</si>
  <si>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</si>
  <si>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</si>
  <si>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</si>
  <si>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</si>
  <si>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</si>
  <si>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</si>
  <si>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</si>
  <si>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</si>
  <si>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</si>
  <si>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</si>
  <si>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</si>
  <si>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</si>
  <si>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</si>
  <si>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</si>
  <si>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</si>
  <si>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</si>
  <si>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</si>
  <si>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</si>
  <si>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</si>
  <si>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</si>
  <si>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</si>
  <si>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</si>
  <si>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</si>
  <si>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</si>
  <si>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</si>
  <si>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</si>
  <si>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</si>
  <si>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</si>
  <si>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</si>
  <si>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</si>
  <si>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</si>
  <si>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</si>
  <si>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</si>
  <si>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</si>
  <si>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</si>
  <si>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</si>
  <si>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</si>
  <si>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</si>
  <si>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</si>
  <si>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</si>
  <si>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</si>
  <si>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</si>
  <si>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</si>
  <si>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</si>
  <si>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</si>
  <si>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</si>
  <si>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</si>
  <si>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</si>
  <si>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</si>
  <si>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</si>
  <si>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</si>
  <si>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</si>
  <si>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</si>
  <si>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</si>
  <si>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</si>
  <si>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</si>
  <si>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</si>
  <si>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</si>
  <si>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</si>
  <si>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</si>
  <si>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</si>
  <si>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</si>
  <si>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</si>
  <si>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</si>
  <si>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</si>
  <si>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</si>
  <si>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</si>
  <si>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</si>
  <si>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</si>
  <si>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</si>
  <si>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</si>
  <si>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</si>
  <si>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</si>
  <si>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</si>
  <si>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</si>
  <si>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</si>
  <si>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</si>
  <si>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</si>
  <si>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</si>
  <si>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</si>
  <si>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</si>
  <si>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</si>
  <si>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</si>
  <si>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</si>
  <si>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</si>
  <si>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</si>
  <si>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</si>
  <si>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</si>
  <si>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</si>
  <si>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</si>
  <si>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</si>
  <si>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</si>
  <si>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</si>
  <si>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</si>
  <si>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</si>
  <si>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</si>
  <si>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</si>
  <si>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</si>
  <si>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</si>
  <si>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</si>
  <si>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</si>
  <si>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</si>
  <si>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</si>
  <si>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</si>
  <si>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</si>
  <si>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</si>
  <si>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</si>
  <si>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</si>
  <si>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</si>
  <si>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</si>
  <si>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</si>
  <si>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</si>
  <si>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</si>
  <si>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</si>
  <si>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</si>
  <si>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</si>
  <si>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</si>
  <si>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</si>
  <si>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</si>
  <si>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</si>
  <si>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</si>
  <si>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</si>
  <si>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</si>
  <si>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</si>
  <si>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</si>
  <si>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</si>
  <si>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</si>
  <si>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</si>
  <si>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</si>
  <si>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</si>
  <si>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</si>
  <si>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</si>
  <si>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</si>
  <si>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</si>
  <si>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</si>
  <si>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</si>
  <si>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</si>
  <si>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</si>
  <si>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</si>
  <si>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</si>
  <si>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</si>
  <si>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</si>
  <si>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</si>
  <si>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</si>
  <si>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</si>
  <si>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</si>
  <si>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</si>
  <si>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</si>
  <si>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</si>
  <si>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</si>
  <si>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</si>
  <si>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</si>
  <si>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</si>
  <si>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</si>
  <si>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</si>
  <si>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</si>
  <si>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</si>
  <si>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</si>
  <si>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</si>
  <si>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</si>
  <si>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</si>
  <si>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</si>
  <si>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</si>
  <si>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</si>
  <si>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</si>
  <si>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</si>
  <si>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</si>
  <si>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</si>
  <si>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</si>
  <si>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</si>
  <si>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</si>
  <si>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</si>
  <si>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</si>
  <si>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</si>
  <si>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</si>
  <si>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</si>
  <si>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</si>
  <si>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</si>
  <si>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</si>
  <si>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</si>
  <si>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</si>
  <si>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</si>
  <si>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</si>
  <si>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</si>
  <si>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</si>
  <si>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</si>
  <si>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</si>
  <si>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</si>
  <si>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</si>
  <si>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</si>
  <si>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</si>
  <si>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</si>
  <si>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</si>
  <si>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</si>
  <si>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</si>
  <si>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</si>
  <si>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</si>
  <si>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</si>
  <si>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</si>
  <si>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</si>
  <si>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</si>
  <si>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</si>
  <si>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</si>
  <si>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</si>
  <si>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</si>
  <si>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</si>
  <si>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</si>
  <si>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</si>
  <si>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</si>
  <si>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</si>
  <si>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</si>
  <si>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</si>
  <si>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</si>
  <si>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</si>
  <si>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</si>
  <si>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</si>
  <si>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</si>
  <si>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</si>
  <si>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</si>
  <si>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</si>
  <si>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</si>
  <si>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</si>
  <si>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</si>
  <si>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</si>
  <si>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</si>
  <si>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</si>
  <si>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</si>
  <si>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</si>
  <si>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</si>
  <si>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</si>
  <si>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</si>
  <si>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</si>
  <si>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</si>
  <si>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</si>
  <si>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</si>
  <si>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</si>
  <si>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</si>
  <si>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</si>
  <si>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</si>
  <si>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</si>
  <si>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</si>
  <si>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</si>
  <si>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</si>
  <si>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</si>
  <si>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</si>
  <si>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</si>
  <si>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</si>
  <si>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</si>
  <si>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</si>
  <si>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</si>
  <si>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</si>
  <si>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</si>
  <si>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</si>
  <si>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</si>
  <si>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</si>
  <si>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</si>
  <si>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</si>
  <si>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</si>
  <si>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</si>
  <si>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</si>
  <si>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</si>
  <si>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</si>
  <si>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</si>
  <si>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</si>
  <si>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</si>
  <si>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</si>
  <si>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</si>
  <si>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</si>
  <si>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</si>
  <si>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</si>
  <si>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</si>
  <si>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</si>
  <si>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</si>
  <si>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</si>
  <si>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</si>
  <si>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</si>
  <si>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</si>
  <si>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</si>
  <si>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</si>
  <si>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</si>
  <si>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</si>
  <si>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</si>
  <si>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</si>
  <si>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</si>
  <si>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</si>
  <si>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</si>
  <si>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</si>
  <si>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</si>
  <si>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</si>
  <si>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</si>
  <si>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</si>
  <si>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</si>
  <si>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</si>
  <si>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</si>
  <si>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</si>
  <si>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</si>
  <si>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</si>
  <si>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</si>
  <si>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</si>
  <si>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</si>
  <si>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</si>
  <si>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</si>
  <si>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</si>
  <si>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</si>
  <si>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</si>
  <si>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</si>
  <si>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</si>
  <si>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</si>
  <si>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</si>
  <si>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</si>
  <si>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</si>
  <si>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</si>
  <si>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</si>
  <si>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</si>
  <si>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</si>
  <si>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</si>
  <si>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</si>
  <si>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</si>
  <si>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</si>
  <si>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</si>
  <si>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</si>
  <si>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</si>
  <si>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</si>
  <si>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</si>
  <si>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</si>
  <si>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</si>
  <si>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</si>
  <si>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</si>
  <si>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</si>
  <si>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</si>
  <si>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</si>
  <si>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</si>
  <si>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</si>
  <si>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</si>
  <si>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</si>
  <si>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</si>
  <si>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</si>
  <si>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</si>
  <si>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</si>
  <si>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</si>
  <si>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</si>
  <si>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</si>
  <si>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</si>
  <si>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</si>
  <si>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</si>
  <si>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</si>
  <si>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</si>
  <si>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</si>
  <si>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</si>
  <si>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</si>
  <si>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</si>
  <si>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</si>
  <si>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</si>
  <si>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</si>
  <si>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</si>
  <si>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</si>
  <si>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</si>
  <si>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</si>
  <si>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</si>
  <si>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</si>
  <si>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</si>
  <si>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</si>
  <si>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</si>
  <si>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</si>
  <si>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</si>
  <si>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</si>
  <si>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</si>
  <si>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</si>
  <si>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</si>
  <si>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</si>
  <si>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</si>
  <si>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</si>
  <si>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</si>
  <si>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</si>
  <si>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</si>
  <si>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</si>
  <si>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</si>
  <si>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</si>
  <si>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</si>
  <si>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</si>
  <si>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</si>
  <si>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</si>
  <si>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</si>
  <si>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</si>
  <si>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</si>
  <si>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</si>
  <si>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</si>
  <si>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</si>
  <si>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</si>
  <si>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</si>
  <si>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</si>
  <si>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</si>
  <si>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</si>
  <si>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</si>
  <si>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</si>
  <si>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</si>
  <si>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</si>
  <si>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</si>
  <si>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</si>
  <si>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</si>
  <si>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</si>
  <si>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</si>
  <si>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</si>
  <si>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</si>
  <si>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</si>
  <si>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</si>
  <si>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</si>
  <si>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</si>
  <si>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</si>
  <si>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</si>
  <si>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</si>
  <si>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</si>
  <si>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</si>
  <si>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</si>
  <si>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</si>
  <si>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</si>
  <si>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</si>
  <si>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</si>
  <si>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</si>
  <si>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</si>
  <si>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</si>
  <si>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</si>
  <si>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</si>
  <si>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</si>
  <si>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</si>
  <si>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</si>
  <si>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</si>
  <si>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</si>
  <si>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</si>
  <si>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</si>
  <si>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</si>
  <si>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</si>
  <si>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</si>
  <si>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</si>
  <si>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</si>
  <si>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</si>
  <si>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</si>
  <si>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</si>
  <si>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</si>
  <si>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</si>
  <si>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</si>
  <si>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</si>
  <si>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</si>
  <si>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</si>
  <si>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</si>
  <si>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</si>
  <si>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</si>
  <si>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</si>
  <si>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</si>
  <si>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</si>
  <si>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</si>
  <si>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</si>
  <si>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</si>
  <si>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</si>
  <si>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</si>
  <si>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</si>
  <si>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</si>
  <si>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</si>
  <si>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</si>
  <si>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</si>
  <si>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</si>
  <si>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</si>
  <si>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</si>
  <si>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</si>
  <si>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</si>
  <si>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</si>
  <si>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</si>
  <si>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</si>
  <si>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</si>
  <si>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</si>
  <si>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</si>
  <si>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</si>
  <si>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</si>
  <si>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</si>
  <si>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</si>
  <si>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</si>
  <si>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</si>
  <si>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</si>
  <si>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</si>
  <si>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</si>
  <si>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</si>
  <si>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</si>
  <si>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</si>
  <si>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</si>
  <si>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</si>
  <si>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</si>
  <si>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</si>
  <si>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</si>
  <si>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</si>
  <si>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</si>
  <si>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</si>
  <si>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</si>
  <si>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</si>
  <si>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</si>
  <si>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</si>
  <si>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</si>
  <si>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</si>
  <si>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</si>
  <si>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</si>
  <si>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</si>
  <si>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</si>
  <si>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</si>
  <si>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</si>
  <si>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</si>
  <si>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</si>
  <si>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</si>
  <si>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</si>
  <si>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</si>
  <si>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</si>
  <si>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</si>
  <si>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</si>
  <si>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</si>
  <si>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</si>
  <si>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</si>
  <si>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</si>
  <si>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</si>
  <si>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</si>
  <si>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</si>
  <si>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</si>
  <si>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</si>
  <si>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</si>
  <si>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</si>
  <si>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</si>
  <si>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</si>
  <si>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</si>
  <si>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</si>
  <si>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</si>
  <si>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</si>
  <si>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</si>
  <si>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</si>
  <si>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</si>
  <si>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</si>
  <si>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</si>
  <si>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</si>
  <si>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</si>
  <si>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</si>
  <si>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</si>
  <si>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</si>
  <si>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</si>
  <si>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</si>
  <si>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</si>
  <si>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</si>
  <si>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</si>
  <si>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</si>
  <si>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</si>
  <si>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</si>
  <si>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</si>
  <si>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</si>
  <si>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</si>
  <si>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</si>
  <si>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</si>
  <si>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</si>
  <si>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</si>
  <si>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</si>
  <si>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</si>
  <si>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</si>
  <si>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</si>
  <si>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</si>
  <si>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</si>
  <si>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</si>
  <si>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</si>
  <si>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</si>
  <si>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</si>
  <si>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</si>
  <si>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</si>
  <si>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</si>
  <si>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</si>
  <si>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</si>
  <si>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</si>
  <si>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</si>
  <si>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</si>
  <si>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</si>
  <si>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</si>
  <si>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</si>
  <si>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</si>
  <si>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</si>
  <si>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</si>
  <si>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</si>
  <si>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</si>
  <si>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</si>
  <si>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</si>
  <si>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</si>
  <si>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</si>
  <si>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</si>
  <si>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</si>
  <si>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</si>
  <si>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</si>
  <si>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</si>
  <si>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</si>
  <si>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</si>
  <si>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</si>
  <si>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</si>
  <si>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</si>
  <si>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</si>
  <si>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</si>
  <si>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</si>
  <si>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</si>
  <si>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</si>
  <si>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</si>
  <si>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</si>
  <si>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</si>
  <si>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</si>
  <si>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</si>
  <si>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</si>
  <si>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</si>
  <si>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</si>
  <si>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</si>
  <si>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</si>
  <si>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</si>
  <si>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</si>
  <si>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</si>
  <si>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</si>
  <si>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</si>
  <si>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</si>
  <si>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</si>
  <si>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</si>
  <si>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</si>
  <si>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</si>
  <si>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</si>
  <si>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</si>
  <si>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</si>
  <si>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</si>
  <si>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</si>
  <si>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</si>
  <si>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</si>
  <si>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</si>
  <si>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</si>
  <si>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</si>
  <si>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</si>
  <si>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</si>
  <si>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</si>
  <si>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</si>
  <si>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</si>
  <si>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</si>
  <si>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</si>
  <si>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</si>
  <si>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</si>
  <si>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</si>
  <si>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</si>
  <si>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</si>
  <si>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</si>
  <si>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</si>
  <si>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</si>
  <si>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</si>
  <si>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</si>
  <si>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</si>
  <si>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</si>
  <si>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</si>
  <si>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</si>
  <si>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</si>
  <si>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</si>
  <si>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</si>
  <si>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</si>
  <si>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</si>
  <si>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</si>
  <si>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</si>
  <si>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</si>
  <si>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</si>
  <si>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</si>
  <si>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</si>
  <si>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</si>
  <si>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</si>
  <si>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</si>
  <si>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</si>
  <si>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</si>
  <si>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</si>
  <si>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</si>
  <si>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</si>
  <si>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</si>
  <si>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</si>
  <si>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</si>
  <si>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</si>
  <si>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</si>
  <si>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</si>
  <si>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</si>
  <si>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</si>
  <si>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</si>
  <si>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</si>
  <si>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</si>
  <si>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</si>
  <si>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</si>
  <si>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</si>
  <si>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</si>
  <si>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</si>
  <si>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</si>
  <si>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</si>
  <si>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</si>
  <si>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</si>
  <si>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</si>
  <si>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</si>
  <si>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</si>
  <si>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</si>
  <si>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</si>
  <si>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</si>
  <si>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</si>
  <si>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</si>
  <si>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</si>
  <si>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</si>
  <si>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</si>
  <si>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</si>
  <si>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</si>
  <si>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</si>
  <si>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</si>
  <si>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</si>
  <si>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</si>
  <si>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</si>
  <si>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</si>
  <si>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</si>
  <si>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</si>
  <si>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</si>
  <si>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</si>
  <si>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</si>
  <si>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</si>
  <si>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</si>
  <si>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</si>
  <si>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</si>
  <si>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</si>
  <si>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</si>
  <si>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</si>
  <si>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</si>
  <si>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</si>
  <si>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</si>
  <si>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</si>
  <si>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</si>
  <si>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</si>
  <si>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</si>
  <si>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</si>
  <si>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</si>
  <si>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</si>
  <si>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</si>
  <si>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</si>
  <si>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</si>
  <si>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</si>
  <si>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</si>
  <si>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</si>
  <si>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</si>
  <si>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</si>
  <si>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</si>
  <si>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</si>
  <si>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</si>
  <si>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</si>
  <si>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</si>
  <si>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</si>
  <si>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</si>
  <si>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</si>
  <si>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</si>
  <si>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</si>
  <si>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</si>
  <si>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</si>
  <si>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</si>
  <si>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</si>
  <si>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</si>
  <si>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</si>
  <si>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</si>
  <si>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</si>
  <si>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</si>
  <si>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</si>
  <si>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</si>
  <si>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</si>
  <si>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</si>
  <si>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</si>
  <si>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</si>
  <si>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</si>
  <si>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</si>
  <si>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</si>
  <si>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</si>
  <si>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</si>
  <si>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</si>
  <si>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</si>
  <si>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</si>
  <si>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</si>
  <si>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</si>
  <si>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</si>
  <si>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</si>
  <si>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</si>
  <si>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</si>
  <si>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</si>
  <si>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</si>
  <si>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</si>
  <si>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</si>
  <si>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</si>
  <si>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</si>
  <si>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</si>
  <si>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</si>
  <si>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</si>
  <si>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</si>
  <si>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</si>
  <si>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</si>
  <si>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</si>
  <si>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</si>
  <si>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</si>
  <si>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</si>
  <si>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</si>
  <si>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</si>
  <si>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</si>
  <si>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</si>
  <si>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</si>
  <si>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</si>
  <si>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</si>
  <si>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</si>
  <si>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</si>
  <si>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</si>
  <si>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</si>
  <si>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</si>
  <si>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</si>
  <si>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</si>
  <si>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</si>
  <si>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</si>
  <si>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</si>
  <si>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</si>
  <si>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</si>
  <si>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</si>
  <si>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</si>
  <si>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</si>
  <si>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</si>
  <si>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</si>
  <si>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</si>
  <si>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</si>
  <si>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</si>
  <si>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</si>
  <si>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</si>
  <si>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</si>
  <si>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</si>
  <si>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</si>
  <si>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</si>
  <si>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</si>
  <si>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</si>
  <si>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</si>
  <si>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</si>
  <si>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</si>
  <si>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</si>
  <si>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</si>
  <si>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</si>
  <si>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</si>
  <si>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</si>
  <si>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</si>
  <si>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</si>
  <si>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</si>
  <si>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</si>
  <si>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</si>
  <si>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</si>
  <si>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</si>
  <si>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</si>
  <si>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</si>
  <si>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</si>
  <si>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</si>
  <si>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</si>
  <si>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</si>
  <si>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</si>
  <si>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</si>
  <si>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</si>
  <si>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</si>
  <si>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</si>
  <si>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</si>
  <si>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</si>
  <si>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</si>
  <si>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</si>
  <si>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</si>
  <si>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</si>
  <si>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</si>
  <si>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</si>
  <si>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</si>
  <si>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</si>
  <si>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</si>
  <si>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</si>
  <si>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</si>
  <si>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</si>
  <si>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</si>
  <si>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</si>
  <si>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</si>
  <si>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</si>
  <si>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</si>
  <si>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</si>
  <si>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</si>
  <si>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</si>
  <si>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</si>
  <si>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</si>
  <si>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</si>
  <si>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</si>
  <si>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</si>
  <si>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</si>
  <si>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</si>
  <si>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</si>
  <si>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</si>
  <si>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</si>
  <si>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</si>
  <si>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</si>
  <si>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</si>
  <si>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</si>
  <si>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</si>
  <si>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</si>
  <si>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</si>
  <si>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</si>
  <si>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</si>
  <si>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</si>
  <si>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</si>
  <si>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</si>
  <si>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</si>
  <si>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</si>
  <si>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</si>
  <si>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</si>
  <si>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</si>
  <si>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</si>
  <si>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</si>
  <si>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</si>
  <si>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</si>
  <si>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</si>
  <si>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</si>
  <si>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</si>
  <si>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</si>
  <si>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</si>
  <si>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</si>
  <si>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</si>
  <si>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</si>
  <si>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</si>
  <si>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</si>
  <si>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</si>
  <si>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</si>
  <si>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</si>
  <si>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</si>
  <si>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</si>
  <si>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</si>
  <si>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</si>
  <si>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</si>
  <si>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</si>
  <si>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</si>
  <si>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</si>
  <si>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</si>
  <si>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</si>
  <si>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</si>
  <si>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</si>
  <si>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</si>
  <si>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</si>
  <si>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</si>
  <si>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</si>
  <si>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</si>
  <si>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</si>
  <si>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</si>
  <si>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</si>
  <si>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</si>
  <si>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</si>
  <si>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</si>
  <si>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</si>
  <si>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</si>
  <si>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</si>
  <si>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</si>
  <si>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</si>
  <si>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</si>
  <si>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</si>
  <si>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</si>
  <si>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</si>
  <si>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</si>
  <si>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</si>
  <si>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</si>
  <si>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</si>
  <si>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</si>
  <si>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</si>
  <si>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</si>
  <si>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</si>
  <si>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</si>
  <si>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</si>
  <si>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</si>
  <si>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</si>
  <si>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</si>
  <si>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</si>
  <si>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</si>
  <si>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</si>
  <si>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</si>
  <si>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</si>
  <si>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</si>
  <si>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</si>
  <si>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</si>
  <si>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</si>
  <si>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</si>
  <si>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</si>
  <si>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</si>
  <si>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</si>
  <si>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</si>
  <si>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</si>
  <si>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</si>
  <si>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</si>
  <si>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</si>
  <si>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</si>
  <si>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</si>
  <si>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</si>
  <si>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</si>
  <si>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</si>
  <si>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</si>
  <si>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</si>
  <si>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</si>
  <si>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</si>
  <si>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</si>
  <si>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</si>
  <si>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</si>
  <si>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</si>
  <si>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</si>
  <si>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</si>
  <si>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</si>
  <si>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</si>
  <si>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</si>
  <si>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</si>
  <si>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</si>
  <si>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</si>
  <si>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</si>
  <si>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</si>
  <si>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</si>
  <si>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</si>
  <si>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</si>
  <si>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</si>
  <si>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</si>
  <si>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</si>
  <si>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</si>
  <si>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</si>
  <si>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</si>
  <si>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</si>
  <si>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</si>
  <si>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</si>
  <si>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</si>
  <si>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</si>
  <si>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</si>
  <si>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</si>
  <si>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</si>
  <si>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</si>
  <si>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</si>
  <si>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</si>
  <si>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</si>
  <si>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</si>
  <si>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</si>
  <si>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</si>
  <si>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</si>
  <si>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</si>
  <si>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</si>
  <si>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</si>
  <si>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</si>
  <si>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</si>
  <si>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</si>
  <si>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</si>
  <si>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</si>
  <si>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</si>
  <si>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</si>
  <si>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</si>
  <si>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</si>
  <si>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</si>
  <si>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</si>
  <si>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</si>
  <si>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</si>
  <si>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</si>
  <si>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</si>
  <si>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</si>
  <si>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</si>
  <si>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</si>
  <si>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</si>
  <si>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</si>
  <si>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</si>
  <si>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</si>
  <si>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</si>
  <si>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</si>
  <si>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</si>
  <si>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</si>
  <si>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</si>
  <si>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</si>
  <si>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</si>
  <si>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</si>
  <si>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</si>
  <si>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</si>
  <si>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</si>
  <si>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</si>
  <si>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</si>
  <si>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</si>
  <si>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</si>
  <si>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</si>
  <si>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</si>
  <si>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</si>
  <si>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</si>
  <si>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</si>
  <si>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</si>
  <si>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</si>
  <si>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</si>
  <si>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</si>
  <si>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</si>
  <si>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</si>
  <si>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</si>
  <si>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</si>
  <si>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</si>
  <si>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</si>
  <si>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</si>
  <si>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</si>
  <si>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</si>
  <si>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</si>
  <si>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</si>
  <si>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</si>
  <si>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</si>
  <si>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</si>
  <si>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</si>
  <si>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</si>
  <si>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</si>
  <si>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</si>
  <si>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</si>
  <si>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</si>
  <si>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</si>
  <si>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</si>
  <si>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</si>
  <si>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</si>
  <si>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</si>
  <si>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</si>
  <si>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</si>
  <si>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</si>
  <si>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</si>
  <si>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</si>
  <si>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</si>
  <si>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</si>
  <si>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</si>
  <si>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</si>
  <si>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</si>
  <si>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</si>
  <si>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</si>
  <si>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</si>
  <si>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</si>
  <si>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</si>
  <si>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</si>
  <si>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</si>
  <si>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</si>
  <si>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</si>
  <si>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</si>
  <si>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</si>
  <si>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</si>
  <si>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</si>
  <si>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</si>
  <si>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</si>
  <si>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</si>
  <si>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</si>
  <si>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</si>
  <si>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</si>
  <si>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</si>
  <si>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</si>
  <si>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</si>
  <si>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</si>
  <si>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</si>
  <si>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</si>
  <si>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</si>
  <si>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</si>
  <si>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</si>
  <si>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</si>
  <si>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</si>
  <si>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</si>
  <si>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</si>
  <si>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</si>
  <si>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</si>
  <si>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</si>
  <si>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</si>
  <si>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</si>
  <si>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</si>
  <si>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</si>
  <si>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</si>
  <si>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</si>
  <si>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</si>
  <si>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</si>
  <si>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</si>
  <si>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</si>
  <si>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</si>
  <si>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</si>
  <si>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</si>
  <si>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</si>
  <si>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</si>
  <si>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</si>
  <si>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</si>
  <si>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</si>
  <si>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</si>
  <si>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</si>
  <si>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</si>
  <si>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</si>
  <si>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</si>
  <si>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</si>
  <si>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</si>
  <si>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</si>
  <si>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</si>
  <si>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</si>
  <si>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</si>
  <si>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</si>
  <si>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</si>
  <si>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</si>
  <si>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</si>
  <si>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</si>
  <si>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</si>
  <si>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</si>
  <si>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</si>
  <si>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</si>
  <si>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</si>
  <si>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</si>
  <si>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</si>
  <si>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</si>
  <si>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</si>
  <si>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</si>
  <si>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</si>
  <si>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</si>
  <si>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</si>
  <si>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</si>
  <si>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</si>
  <si>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</si>
  <si>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</si>
  <si>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</si>
  <si>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</si>
  <si>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</si>
  <si>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</si>
  <si>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</si>
  <si>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</si>
  <si>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</si>
  <si>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</si>
  <si>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</si>
  <si>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</si>
  <si>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</si>
  <si>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</si>
  <si>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</si>
  <si>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</si>
  <si>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</si>
  <si>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</si>
  <si>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</si>
  <si>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</si>
  <si>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</si>
  <si>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</si>
  <si>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</si>
  <si>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</si>
  <si>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</si>
  <si>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</si>
  <si>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</si>
  <si>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</si>
  <si>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</si>
  <si>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</si>
  <si>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</si>
  <si>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</si>
  <si>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</si>
  <si>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</si>
  <si>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</si>
  <si>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</si>
  <si>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</si>
  <si>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</si>
  <si>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</si>
  <si>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</si>
  <si>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</si>
  <si>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</si>
  <si>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</si>
  <si>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</si>
  <si>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</si>
  <si>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</si>
  <si>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</si>
  <si>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</si>
  <si>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</si>
  <si>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</si>
  <si>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</si>
  <si>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</si>
  <si>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</si>
  <si>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</si>
  <si>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</si>
  <si>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</si>
  <si>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</si>
  <si>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</si>
  <si>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</si>
  <si>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</si>
  <si>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</si>
  <si>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</si>
  <si>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</si>
  <si>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</si>
  <si>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</si>
  <si>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</si>
  <si>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</si>
  <si>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</si>
  <si>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</si>
  <si>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</si>
  <si>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</si>
  <si>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</si>
  <si>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</si>
  <si>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</si>
  <si>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</si>
  <si>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</si>
  <si>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</si>
  <si>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</si>
  <si>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</si>
  <si>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</si>
  <si>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</si>
  <si>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</si>
  <si>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</si>
  <si>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</si>
  <si>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</si>
  <si>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</si>
  <si>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</si>
  <si>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</si>
  <si>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</si>
  <si>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</si>
  <si>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</si>
  <si>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</si>
  <si>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</si>
  <si>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</si>
  <si>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</si>
  <si>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</si>
  <si>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</si>
  <si>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</si>
  <si>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</si>
  <si>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</si>
  <si>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</si>
  <si>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</si>
  <si>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</si>
  <si>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</si>
  <si>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</si>
  <si>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</si>
  <si>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</si>
  <si>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</si>
  <si>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</si>
  <si>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</si>
  <si>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</si>
  <si>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</si>
  <si>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</si>
  <si>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</si>
  <si>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</si>
  <si>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</si>
  <si>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</si>
  <si>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</si>
  <si>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</si>
  <si>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</si>
  <si>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</si>
  <si>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</si>
  <si>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</si>
  <si>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</si>
  <si>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</si>
  <si>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</si>
  <si>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</si>
  <si>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</si>
  <si>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</si>
  <si>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</si>
  <si>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</si>
  <si>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</si>
  <si>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</si>
  <si>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</si>
  <si>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</si>
  <si>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</si>
  <si>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</si>
  <si>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</si>
  <si>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</si>
  <si>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</si>
  <si>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</si>
  <si>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</si>
  <si>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</si>
  <si>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</si>
  <si>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</si>
  <si>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</si>
  <si>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</si>
  <si>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</si>
  <si>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</si>
  <si>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</si>
  <si>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</si>
  <si>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</si>
  <si>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</si>
  <si>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</si>
  <si>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</si>
  <si>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</si>
  <si>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</si>
  <si>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</si>
  <si>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</si>
  <si>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</si>
  <si>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</si>
  <si>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</si>
  <si>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</si>
  <si>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</si>
  <si>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</si>
  <si>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</si>
  <si>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</si>
  <si>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</si>
  <si>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</si>
  <si>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</si>
  <si>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</si>
  <si>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</si>
  <si>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</si>
  <si>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</si>
  <si>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</si>
  <si>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</si>
  <si>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</si>
  <si>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</si>
  <si>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</si>
  <si>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</si>
  <si>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</si>
  <si>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</si>
  <si>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</si>
  <si>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</si>
  <si>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</si>
  <si>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</si>
  <si>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</si>
  <si>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</si>
  <si>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</si>
  <si>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</si>
  <si>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</si>
  <si>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</si>
  <si>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</si>
  <si>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</si>
  <si>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</si>
  <si>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</si>
  <si>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</si>
  <si>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</si>
  <si>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</si>
  <si>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</si>
  <si>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</si>
  <si>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</si>
  <si>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</si>
  <si>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</si>
  <si>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</si>
  <si>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</si>
  <si>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</si>
  <si>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</si>
  <si>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</si>
  <si>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</si>
  <si>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</si>
  <si>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</si>
  <si>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</si>
  <si>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</si>
  <si>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</si>
  <si>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</si>
  <si>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</si>
  <si>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</si>
  <si>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</si>
  <si>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</si>
  <si>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</si>
  <si>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</si>
  <si>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</si>
  <si>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</si>
  <si>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</si>
  <si>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</si>
  <si>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</si>
  <si>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</si>
  <si>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</si>
  <si>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</si>
  <si>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</si>
  <si>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</si>
  <si>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</si>
  <si>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</si>
  <si>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</si>
  <si>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</si>
  <si>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</si>
  <si>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</si>
  <si>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</si>
  <si>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</si>
  <si>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</si>
  <si>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</si>
  <si>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</si>
  <si>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</si>
  <si>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</si>
  <si>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</si>
  <si>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</si>
  <si>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</si>
  <si>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</si>
  <si>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</si>
  <si>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</si>
  <si>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</si>
  <si>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</si>
  <si>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</si>
  <si>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</si>
  <si>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</si>
  <si>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</si>
  <si>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</si>
  <si>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</si>
  <si>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</si>
  <si>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</si>
  <si>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</si>
  <si>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</si>
  <si>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</si>
  <si>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</si>
  <si>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</si>
  <si>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</si>
  <si>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</si>
  <si>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</si>
  <si>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</si>
  <si>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</si>
  <si>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</si>
  <si>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</si>
  <si>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</si>
  <si>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</si>
  <si>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</si>
  <si>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</si>
  <si>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</si>
  <si>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</si>
  <si>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</si>
  <si>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</si>
  <si>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</si>
  <si>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</si>
  <si>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</si>
  <si>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</si>
  <si>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</si>
  <si>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</si>
  <si>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</si>
  <si>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</si>
  <si>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</si>
  <si>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</si>
  <si>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</si>
  <si>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</si>
  <si>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</si>
  <si>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</si>
  <si>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</si>
  <si>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</si>
  <si>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</si>
  <si>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</si>
  <si>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</si>
  <si>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</si>
  <si>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</si>
  <si>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</si>
  <si>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</si>
  <si>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</si>
  <si>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</si>
  <si>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</si>
  <si>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</si>
  <si>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</si>
  <si>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</si>
  <si>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</si>
  <si>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</si>
  <si>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</si>
  <si>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</si>
  <si>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</si>
  <si>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</si>
  <si>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</si>
  <si>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</si>
  <si>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</si>
  <si>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</si>
  <si>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</si>
  <si>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</si>
  <si>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</si>
  <si>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</si>
  <si>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</si>
  <si>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</si>
  <si>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</si>
  <si>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</si>
  <si>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</si>
  <si>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</si>
  <si>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</si>
  <si>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</si>
  <si>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</si>
  <si>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</si>
  <si>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</si>
  <si>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</si>
  <si>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</si>
  <si>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</si>
  <si>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</si>
  <si>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</si>
  <si>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</si>
  <si>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</si>
  <si>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</si>
  <si>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</si>
  <si>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</si>
  <si>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</si>
  <si>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</si>
  <si>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</si>
  <si>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</si>
  <si>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</si>
  <si>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</si>
  <si>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</si>
  <si>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</si>
  <si>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</si>
  <si>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</si>
  <si>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</si>
  <si>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</si>
  <si>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</si>
  <si>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</si>
  <si>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</si>
  <si>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</si>
  <si>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</si>
  <si>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</si>
  <si>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</si>
  <si>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</si>
  <si>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</si>
  <si>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</si>
  <si>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</si>
  <si>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</si>
  <si>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</si>
  <si>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</si>
  <si>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</si>
  <si>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</si>
  <si>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</si>
  <si>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</si>
  <si>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</si>
  <si>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</si>
  <si>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</si>
  <si>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</si>
  <si>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</si>
  <si>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</si>
  <si>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</si>
  <si>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</si>
  <si>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</si>
  <si>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</si>
  <si>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</si>
  <si>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</si>
  <si>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</si>
  <si>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</si>
  <si>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</si>
  <si>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</si>
  <si>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</si>
  <si>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</si>
  <si>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</si>
  <si>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</si>
  <si>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</si>
  <si>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</si>
  <si>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</si>
  <si>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</si>
  <si>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</si>
  <si>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</si>
  <si>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</si>
  <si>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</si>
  <si>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</si>
  <si>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</si>
  <si>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</si>
  <si>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</si>
  <si>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</si>
  <si>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</si>
  <si>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</si>
  <si>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</si>
  <si>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</si>
  <si>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</si>
  <si>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</si>
  <si>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</si>
  <si>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</si>
  <si>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</si>
  <si>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</si>
  <si>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</si>
  <si>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</si>
  <si>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</si>
  <si>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</si>
  <si>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</si>
  <si>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</si>
  <si>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</si>
  <si>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</si>
  <si>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</si>
  <si>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</si>
  <si>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</si>
  <si>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</si>
  <si>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</si>
  <si>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</si>
  <si>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</si>
  <si>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</si>
  <si>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</si>
  <si>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</si>
  <si>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</si>
  <si>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</si>
  <si>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</si>
  <si>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</si>
  <si>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</si>
  <si>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</si>
  <si>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</si>
  <si>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</si>
  <si>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</si>
  <si>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</si>
  <si>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</si>
  <si>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</si>
  <si>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</si>
  <si>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</si>
  <si>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</si>
  <si>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</si>
  <si>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</si>
  <si>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</si>
  <si>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</si>
  <si>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</si>
  <si>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</si>
  <si>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</si>
  <si>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</si>
  <si>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</si>
  <si>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</si>
  <si>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</si>
  <si>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</si>
  <si>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</si>
  <si>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</si>
  <si>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</si>
  <si>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</si>
  <si>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</si>
  <si>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</si>
  <si>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</si>
  <si>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</si>
  <si>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</si>
  <si>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</si>
  <si>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</si>
  <si>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</si>
  <si>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</si>
  <si>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</si>
  <si>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</si>
  <si>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</si>
  <si>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</si>
  <si>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</si>
  <si>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</si>
  <si>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</si>
  <si>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</si>
  <si>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</si>
  <si>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</si>
  <si>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</si>
  <si>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</si>
  <si>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</si>
  <si>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</si>
  <si>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</si>
  <si>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</si>
  <si>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</si>
  <si>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</si>
  <si>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</si>
  <si>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</si>
  <si>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</si>
  <si>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</si>
  <si>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</si>
  <si>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</si>
  <si>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</si>
  <si>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</si>
  <si>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</si>
  <si>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</si>
  <si>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</si>
  <si>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</si>
  <si>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</si>
  <si>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</si>
  <si>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</si>
  <si>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</si>
  <si>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</si>
  <si>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</si>
  <si>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</si>
  <si>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</si>
  <si>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</si>
  <si>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</si>
  <si>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</si>
  <si>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</si>
  <si>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</si>
  <si>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</si>
  <si>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</si>
  <si>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</si>
  <si>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</si>
  <si>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</si>
  <si>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</si>
  <si>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</si>
  <si>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</si>
  <si>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</si>
  <si>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</si>
  <si>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</si>
  <si>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</si>
  <si>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</si>
  <si>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</si>
  <si>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</si>
  <si>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</si>
  <si>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</si>
  <si>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</si>
  <si>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</si>
  <si>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</si>
  <si>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</si>
  <si>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</si>
  <si>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</si>
  <si>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</si>
  <si>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</si>
  <si>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</si>
  <si>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</si>
  <si>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</si>
  <si>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</si>
  <si>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</si>
  <si>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</si>
  <si>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</si>
  <si>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</si>
  <si>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</si>
  <si>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</si>
  <si>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</si>
  <si>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</si>
  <si>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</si>
  <si>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</si>
  <si>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</si>
  <si>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</si>
  <si>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</si>
  <si>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</si>
  <si>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</si>
  <si>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</si>
  <si>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</si>
  <si>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</si>
  <si>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</si>
  <si>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</si>
  <si>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</si>
  <si>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</si>
  <si>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</si>
  <si>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</si>
  <si>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</si>
  <si>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</si>
  <si>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</si>
  <si>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</si>
  <si>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</si>
  <si>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</si>
  <si>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</si>
  <si>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</si>
  <si>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</si>
  <si>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</si>
  <si>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</si>
  <si>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</si>
  <si>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</si>
  <si>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</si>
  <si>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</si>
  <si>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</si>
  <si>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</si>
  <si>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</si>
  <si>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</si>
  <si>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</si>
  <si>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</si>
  <si>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</si>
  <si>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</si>
  <si>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</si>
  <si>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</si>
  <si>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</si>
  <si>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</si>
  <si>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</si>
  <si>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</si>
  <si>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</si>
  <si>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</si>
  <si>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</si>
  <si>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</si>
  <si>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</si>
  <si>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</si>
  <si>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</si>
  <si>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</si>
  <si>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</si>
  <si>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</si>
  <si>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</si>
  <si>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</si>
  <si>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</si>
  <si>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</si>
  <si>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</si>
  <si>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</si>
  <si>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</si>
  <si>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</si>
  <si>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</si>
  <si>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</si>
  <si>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</si>
  <si>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</si>
  <si>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</si>
  <si>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</si>
  <si>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</si>
  <si>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</si>
  <si>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</si>
  <si>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</si>
  <si>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</si>
  <si>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</si>
  <si>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</si>
  <si>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</si>
  <si>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</si>
  <si>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</si>
  <si>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</si>
  <si>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</si>
  <si>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</si>
  <si>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</si>
  <si>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</si>
  <si>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</si>
  <si>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</si>
  <si>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</si>
  <si>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</si>
  <si>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</si>
  <si>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</si>
  <si>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</si>
  <si>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</si>
  <si>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</si>
  <si>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</si>
  <si>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</si>
  <si>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</si>
  <si>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</si>
  <si>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</si>
  <si>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</si>
  <si>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</si>
  <si>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</si>
  <si>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</si>
  <si>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</si>
  <si>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</si>
  <si>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</si>
  <si>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</si>
  <si>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</si>
  <si>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</si>
  <si>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</si>
  <si>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</si>
  <si>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</si>
  <si>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</si>
  <si>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</si>
  <si>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</si>
  <si>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</si>
  <si>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</si>
  <si>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</si>
  <si>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</si>
  <si>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</si>
  <si>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</si>
  <si>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</si>
  <si>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</si>
  <si>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</si>
  <si>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</si>
  <si>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</si>
  <si>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</si>
  <si>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</si>
  <si>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</si>
  <si>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</si>
  <si>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</si>
  <si>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</si>
  <si>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</si>
  <si>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</si>
  <si>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</si>
  <si>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</si>
  <si>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</si>
  <si>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</si>
  <si>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</si>
  <si>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</si>
  <si>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</si>
  <si>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</si>
  <si>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</si>
  <si>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</si>
  <si>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</si>
  <si>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</si>
  <si>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</si>
  <si>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</si>
  <si>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</si>
  <si>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</si>
  <si>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</si>
  <si>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</si>
  <si>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</si>
  <si>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</si>
  <si>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</si>
  <si>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</si>
  <si>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</si>
  <si>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</si>
  <si>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</si>
  <si>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</si>
  <si>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</si>
  <si>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</si>
  <si>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</si>
  <si>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</si>
  <si>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</si>
  <si>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</si>
  <si>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</si>
  <si>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</si>
  <si>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</si>
  <si>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</si>
  <si>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</si>
  <si>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</si>
  <si>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</si>
  <si>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</si>
  <si>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</si>
  <si>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</si>
  <si>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</si>
  <si>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</si>
  <si>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</si>
  <si>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</si>
  <si>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</si>
  <si>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</si>
  <si>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</si>
  <si>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</si>
  <si>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</si>
  <si>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</si>
  <si>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</si>
  <si>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</si>
  <si>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</si>
  <si>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</si>
  <si>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</si>
  <si>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</si>
  <si>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</si>
  <si>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</si>
  <si>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</si>
  <si>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</si>
  <si>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</si>
  <si>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</si>
  <si>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</si>
  <si>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</si>
  <si>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</si>
  <si>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</si>
  <si>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</si>
  <si>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</si>
  <si>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</si>
  <si>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</si>
  <si>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</si>
  <si>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</si>
  <si>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</si>
  <si>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</si>
  <si>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</si>
  <si>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</si>
  <si>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</si>
  <si>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</si>
  <si>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</si>
  <si>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</si>
  <si>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</si>
  <si>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</si>
  <si>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</si>
  <si>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</si>
  <si>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</si>
  <si>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</si>
  <si>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</si>
  <si>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</si>
  <si>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</si>
  <si>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</si>
  <si>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</si>
  <si>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</si>
  <si>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</si>
  <si>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</si>
  <si>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</si>
  <si>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</si>
  <si>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</si>
  <si>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</si>
  <si>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</si>
  <si>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</si>
  <si>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</si>
  <si>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</si>
  <si>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</si>
  <si>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</si>
  <si>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</si>
  <si>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</si>
  <si>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</si>
  <si>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</si>
  <si>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</si>
  <si>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</si>
  <si>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</si>
  <si>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</si>
  <si>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</si>
  <si>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</si>
  <si>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</si>
  <si>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</si>
  <si>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</si>
  <si>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</si>
  <si>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</si>
  <si>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</si>
  <si>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</si>
  <si>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</si>
  <si>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</si>
  <si>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</si>
  <si>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</si>
  <si>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</si>
  <si>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</si>
  <si>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</si>
  <si>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</si>
  <si>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</si>
  <si>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</si>
  <si>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</si>
  <si>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</si>
  <si>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</si>
  <si>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</si>
  <si>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</si>
  <si>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</si>
  <si>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</si>
  <si>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</si>
  <si>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</si>
  <si>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</si>
  <si>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</si>
  <si>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</si>
  <si>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</si>
  <si>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</si>
  <si>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</si>
  <si>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</si>
  <si>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</si>
  <si>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</si>
  <si>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</si>
  <si>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</si>
  <si>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</si>
  <si>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</si>
  <si>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</si>
  <si>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</si>
  <si>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</si>
  <si>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</si>
  <si>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</si>
  <si>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</si>
  <si>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</si>
  <si>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</si>
  <si>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</si>
  <si>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</si>
  <si>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</si>
  <si>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</si>
  <si>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</si>
  <si>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</si>
  <si>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</si>
  <si>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</si>
  <si>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</si>
  <si>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</si>
  <si>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</si>
  <si>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</si>
  <si>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</si>
  <si>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</si>
  <si>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</si>
  <si>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</si>
  <si>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</si>
  <si>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</si>
  <si>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</si>
  <si>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</si>
  <si>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</si>
  <si>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</si>
  <si>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</si>
  <si>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</si>
  <si>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</si>
  <si>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</si>
  <si>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</si>
  <si>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</si>
  <si>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</si>
  <si>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</si>
  <si>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</si>
  <si>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</si>
  <si>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</si>
  <si>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</si>
  <si>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</si>
  <si>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</si>
  <si>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</si>
  <si>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</si>
  <si>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</si>
  <si>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</si>
  <si>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</si>
  <si>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</si>
  <si>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</si>
  <si>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</si>
  <si>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</si>
  <si>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</si>
  <si>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</si>
  <si>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</si>
  <si>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</si>
  <si>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</si>
  <si>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</si>
  <si>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</si>
  <si>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</si>
  <si>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</si>
  <si>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</si>
  <si>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</si>
  <si>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</si>
  <si>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</si>
  <si>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</si>
  <si>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</si>
  <si>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</si>
  <si>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</si>
  <si>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</si>
  <si>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</si>
  <si>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</si>
  <si>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</si>
  <si>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</si>
  <si>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</si>
  <si>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</si>
  <si>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</si>
  <si>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</si>
  <si>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</si>
  <si>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</si>
  <si>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</si>
  <si>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</si>
  <si>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</si>
  <si>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</si>
  <si>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</si>
  <si>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</si>
  <si>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</si>
  <si>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</si>
  <si>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</si>
  <si>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</si>
  <si>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</si>
  <si>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</si>
  <si>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</si>
  <si>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</si>
  <si>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</si>
  <si>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</si>
  <si>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</si>
  <si>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</si>
  <si>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</si>
  <si>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</si>
  <si>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</si>
  <si>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</si>
  <si>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</si>
  <si>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</si>
  <si>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</si>
  <si>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</si>
  <si>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</si>
  <si>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</si>
  <si>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</si>
  <si>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</si>
  <si>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</si>
  <si>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</si>
  <si>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</si>
  <si>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</si>
  <si>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</si>
  <si>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</si>
  <si>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</si>
  <si>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</si>
  <si>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</si>
  <si>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</si>
  <si>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</si>
  <si>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</si>
  <si>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</si>
  <si>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</si>
  <si>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</si>
  <si>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</si>
  <si>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</si>
  <si>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</si>
  <si>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</si>
  <si>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</si>
  <si>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</si>
  <si>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</si>
  <si>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</si>
  <si>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</si>
  <si>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</si>
  <si>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</si>
  <si>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</si>
  <si>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</si>
  <si>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</si>
  <si>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</si>
  <si>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</si>
  <si>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</si>
  <si>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</si>
  <si>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</si>
  <si>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</si>
  <si>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</si>
  <si>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</si>
  <si>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</si>
  <si>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</si>
  <si>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</si>
  <si>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</si>
  <si>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</si>
  <si>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</si>
  <si>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</si>
  <si>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</si>
  <si>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</si>
  <si>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</si>
  <si>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</si>
  <si>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</si>
  <si>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</si>
  <si>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</si>
  <si>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</si>
  <si>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</si>
  <si>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</si>
  <si>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</si>
  <si>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</si>
  <si>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</si>
  <si>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</si>
  <si>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</si>
  <si>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</si>
  <si>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</si>
  <si>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</si>
  <si>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</si>
  <si>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</si>
  <si>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</si>
  <si>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</si>
  <si>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</si>
  <si>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</si>
  <si>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</si>
  <si>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</si>
  <si>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</si>
  <si>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</si>
  <si>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</si>
  <si>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</si>
  <si>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</si>
  <si>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</si>
  <si>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</si>
  <si>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</si>
  <si>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</si>
  <si>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</si>
  <si>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</si>
  <si>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</si>
  <si>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</si>
  <si>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</si>
  <si>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</si>
  <si>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</si>
  <si>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</si>
  <si>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</si>
  <si>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</si>
  <si>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</si>
  <si>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</si>
  <si>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</si>
  <si>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</si>
  <si>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</si>
  <si>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</si>
  <si>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</si>
  <si>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</si>
  <si>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</si>
  <si>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</si>
  <si>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</si>
  <si>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</si>
  <si>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</si>
  <si>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</si>
  <si>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</si>
  <si>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</si>
  <si>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</si>
  <si>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</si>
  <si>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</si>
  <si>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</si>
  <si>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</si>
  <si>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</si>
  <si>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</si>
  <si>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</si>
  <si>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</si>
  <si>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</si>
  <si>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</si>
  <si>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</si>
  <si>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</si>
  <si>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</si>
  <si>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</si>
  <si>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</si>
  <si>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</si>
  <si>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</si>
  <si>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</si>
  <si>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</si>
  <si>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</si>
  <si>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</si>
  <si>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</si>
  <si>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</si>
  <si>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</si>
  <si>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</si>
  <si>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</si>
  <si>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</si>
  <si>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</si>
  <si>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</si>
  <si>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</si>
  <si>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</si>
  <si>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</si>
  <si>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</si>
  <si>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</si>
  <si>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</si>
  <si>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</si>
  <si>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</si>
  <si>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</si>
  <si>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</si>
  <si>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</si>
  <si>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</si>
  <si>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</si>
  <si>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</si>
  <si>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</si>
  <si>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</si>
  <si>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</si>
  <si>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</si>
  <si>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</si>
  <si>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</si>
  <si>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</si>
  <si>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</si>
  <si>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</si>
  <si>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</si>
  <si>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</si>
  <si>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</si>
  <si>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</si>
  <si>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</si>
  <si>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</si>
  <si>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</si>
  <si>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</si>
  <si>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</si>
  <si>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</si>
  <si>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</si>
  <si>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</si>
  <si>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</si>
  <si>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</si>
  <si>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</si>
  <si>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</si>
  <si>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</si>
  <si>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</si>
  <si>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</si>
  <si>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</si>
  <si>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</si>
  <si>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</si>
  <si>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</si>
  <si>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</si>
  <si>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</si>
  <si>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</si>
  <si>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</si>
  <si>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</si>
  <si>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</si>
  <si>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</si>
  <si>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</si>
  <si>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</si>
  <si>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</si>
  <si>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</si>
  <si>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</si>
  <si>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</si>
  <si>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</si>
  <si>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</si>
  <si>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</si>
  <si>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</si>
  <si>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</si>
  <si>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</si>
  <si>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</si>
  <si>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</si>
  <si>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</si>
  <si>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</si>
  <si>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</si>
  <si>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</si>
  <si>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</si>
  <si>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</si>
  <si>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</si>
  <si>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</si>
  <si>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</si>
  <si>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</si>
  <si>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</si>
  <si>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</si>
  <si>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</si>
  <si>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</si>
  <si>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</si>
  <si>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</si>
  <si>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</si>
  <si>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</si>
  <si>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</si>
  <si>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</si>
  <si>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</si>
  <si>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</si>
  <si>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</si>
  <si>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</si>
  <si>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</si>
  <si>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</si>
  <si>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</si>
  <si>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</si>
  <si>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</si>
  <si>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</si>
  <si>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</si>
  <si>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</si>
  <si>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</si>
  <si>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</si>
  <si>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</si>
  <si>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</si>
  <si>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</si>
  <si>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</si>
  <si>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</si>
  <si>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</si>
  <si>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</si>
  <si>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</si>
  <si>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</si>
  <si>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</si>
  <si>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</si>
  <si>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</si>
  <si>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</si>
  <si>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</si>
  <si>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</si>
  <si>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</si>
  <si>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</si>
  <si>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</si>
  <si>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</si>
  <si>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</si>
  <si>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</si>
  <si>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</si>
  <si>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</si>
  <si>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</si>
  <si>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</si>
  <si>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</si>
  <si>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</si>
  <si>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</si>
  <si>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</si>
  <si>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</si>
  <si>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</si>
  <si>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</si>
  <si>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</si>
  <si>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</si>
  <si>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</si>
  <si>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</si>
  <si>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</si>
  <si>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</si>
  <si>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</si>
  <si>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</si>
  <si>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</si>
  <si>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</si>
  <si>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</si>
  <si>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</si>
  <si>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</si>
  <si>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</si>
  <si>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</si>
  <si>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</si>
  <si>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</si>
  <si>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</si>
  <si>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</si>
  <si>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</si>
  <si>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</si>
  <si>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</si>
  <si>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</si>
  <si>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</si>
  <si>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</si>
  <si>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</si>
  <si>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</si>
  <si>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</si>
  <si>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</si>
  <si>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</si>
  <si>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</si>
  <si>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</si>
  <si>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</si>
  <si>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</si>
  <si>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</si>
  <si>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</si>
  <si>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</si>
  <si>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</si>
  <si>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</si>
  <si>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</si>
  <si>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</si>
  <si>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</si>
  <si>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</si>
  <si>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</si>
  <si>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</si>
  <si>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</si>
  <si>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</si>
  <si>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</si>
  <si>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</si>
  <si>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</si>
  <si>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</si>
  <si>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</si>
  <si>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</si>
  <si>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</si>
  <si>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</si>
  <si>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</si>
  <si>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</si>
  <si>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</si>
  <si>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</si>
  <si>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</si>
  <si>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</si>
  <si>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</si>
  <si>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</si>
  <si>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</si>
  <si>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</si>
  <si>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</si>
  <si>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</si>
  <si>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</si>
  <si>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</si>
  <si>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</si>
  <si>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</si>
  <si>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</si>
  <si>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</si>
  <si>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</si>
  <si>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</si>
  <si>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</si>
  <si>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</si>
  <si>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</si>
  <si>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</si>
  <si>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</si>
  <si>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</si>
  <si>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</si>
  <si>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</si>
  <si>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</si>
  <si>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</si>
  <si>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</si>
  <si>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</si>
  <si>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</si>
  <si>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</si>
  <si>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</si>
  <si>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</si>
  <si>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</si>
  <si>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</si>
  <si>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</si>
  <si>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</si>
  <si>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</si>
  <si>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</si>
  <si>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</si>
  <si>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</si>
  <si>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</si>
  <si>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</si>
  <si>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</si>
  <si>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</si>
  <si>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</si>
  <si>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</si>
  <si>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</si>
  <si>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</si>
  <si>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</si>
  <si>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</si>
  <si>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</si>
  <si>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</si>
  <si>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</si>
  <si>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</si>
  <si>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</si>
  <si>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</si>
  <si>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</si>
  <si>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</si>
  <si>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</si>
  <si>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</si>
  <si>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</si>
  <si>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</si>
  <si>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</si>
  <si>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</si>
  <si>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</si>
  <si>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</si>
  <si>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</si>
  <si>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</si>
  <si>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</si>
  <si>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</si>
  <si>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</si>
  <si>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</si>
  <si>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</si>
  <si>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</si>
  <si>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</si>
  <si>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</si>
  <si>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</si>
  <si>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</si>
  <si>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</si>
  <si>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</si>
  <si>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</si>
  <si>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</si>
  <si>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</si>
  <si>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</si>
  <si>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</si>
  <si>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</si>
  <si>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</si>
  <si>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</si>
  <si>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</si>
  <si>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</si>
  <si>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</si>
  <si>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</si>
  <si>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</si>
  <si>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</si>
  <si>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</si>
  <si>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</si>
  <si>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</si>
  <si>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</si>
  <si>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</si>
  <si>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</si>
  <si>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</si>
  <si>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</si>
  <si>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</si>
  <si>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</si>
  <si>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</si>
  <si>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</si>
  <si>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</si>
  <si>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</si>
  <si>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</si>
  <si>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</si>
  <si>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</si>
  <si>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</si>
  <si>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</si>
  <si>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</si>
  <si>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</si>
  <si>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</si>
  <si>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</si>
  <si>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</si>
  <si>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</si>
  <si>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</si>
  <si>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</si>
  <si>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</si>
  <si>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</si>
  <si>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</si>
  <si>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</si>
  <si>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</si>
  <si>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</si>
  <si>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</si>
  <si>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</si>
  <si>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</si>
  <si>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</si>
  <si>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</si>
  <si>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</si>
  <si>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</si>
  <si>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</si>
  <si>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</si>
  <si>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</si>
  <si>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</si>
  <si>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</si>
  <si>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</si>
  <si>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</si>
  <si>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</si>
  <si>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</si>
  <si>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</si>
  <si>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</si>
  <si>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</si>
  <si>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</si>
  <si>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</si>
  <si>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</si>
  <si>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</si>
  <si>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</si>
  <si>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</si>
  <si>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</si>
  <si>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</si>
  <si>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</si>
  <si>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</si>
  <si>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</si>
  <si>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</si>
  <si>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</si>
  <si>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</si>
  <si>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</si>
  <si>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</si>
  <si>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</si>
  <si>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</si>
  <si>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</si>
  <si>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</si>
  <si>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</si>
  <si>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</si>
  <si>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</si>
  <si>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</si>
  <si>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</si>
  <si>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</si>
  <si>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</si>
  <si>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</si>
  <si>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</si>
  <si>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</si>
  <si>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</si>
  <si>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</si>
  <si>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</si>
  <si>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</si>
  <si>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</si>
  <si>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</si>
  <si>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</si>
  <si>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</si>
  <si>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</si>
  <si>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</si>
  <si>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</si>
  <si>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</si>
  <si>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</si>
  <si>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</si>
  <si>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</si>
  <si>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</si>
  <si>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</si>
  <si>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</si>
  <si>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</si>
  <si>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</si>
  <si>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</si>
  <si>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</si>
  <si>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</si>
  <si>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</si>
  <si>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</si>
  <si>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</si>
  <si>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</si>
  <si>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</si>
  <si>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</si>
  <si>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</si>
  <si>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</si>
  <si>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</si>
  <si>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</si>
  <si>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</si>
  <si>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</si>
  <si>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</si>
  <si>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</si>
  <si>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</si>
  <si>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</si>
  <si>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</si>
  <si>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</si>
  <si>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</si>
  <si>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</si>
  <si>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</si>
  <si>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</si>
  <si>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</si>
  <si>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</si>
  <si>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</si>
  <si>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</si>
  <si>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</si>
  <si>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</si>
  <si>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</si>
  <si>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</si>
  <si>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</si>
  <si>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</si>
  <si>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</si>
  <si>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</si>
  <si>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</si>
  <si>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</si>
  <si>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</si>
  <si>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</si>
  <si>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</si>
  <si>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</si>
  <si>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</si>
  <si>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</si>
  <si>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</si>
  <si>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</si>
  <si>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</si>
  <si>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</si>
  <si>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</si>
  <si>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</si>
  <si>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</si>
  <si>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</si>
  <si>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</si>
  <si>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</si>
  <si>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</si>
  <si>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</si>
  <si>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</si>
  <si>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</si>
  <si>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</si>
  <si>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</si>
  <si>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</si>
  <si>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</si>
  <si>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</si>
  <si>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</si>
  <si>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</si>
  <si>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</si>
  <si>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</si>
  <si>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</si>
  <si>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</si>
  <si>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</si>
  <si>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</si>
  <si>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</si>
  <si>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</si>
  <si>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</si>
  <si>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</si>
  <si>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</si>
  <si>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</si>
  <si>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</si>
  <si>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</si>
  <si>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</si>
  <si>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</si>
  <si>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</si>
  <si>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</si>
  <si>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</si>
  <si>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</si>
  <si>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</si>
  <si>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</si>
  <si>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</si>
  <si>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</si>
  <si>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</si>
  <si>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</si>
  <si>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</si>
  <si>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</si>
  <si>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</si>
  <si>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</si>
  <si>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</si>
  <si>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</si>
  <si>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</si>
  <si>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</si>
  <si>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</si>
  <si>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</si>
  <si>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</si>
  <si>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</si>
  <si>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</si>
  <si>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</si>
  <si>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</si>
  <si>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</si>
  <si>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</si>
  <si>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</si>
  <si>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</si>
  <si>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</si>
  <si>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</si>
  <si>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</si>
  <si>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</si>
  <si>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</si>
  <si>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</si>
  <si>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</si>
  <si>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</si>
  <si>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</si>
  <si>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</si>
  <si>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</si>
  <si>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</si>
  <si>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</si>
  <si>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</si>
  <si>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</si>
  <si>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</si>
  <si>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</si>
  <si>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</si>
  <si>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</si>
  <si>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</si>
  <si>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</si>
  <si>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</si>
  <si>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</si>
  <si>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</si>
  <si>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</si>
  <si>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</si>
  <si>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</si>
  <si>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</si>
  <si>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</si>
  <si>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</si>
  <si>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</si>
  <si>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</si>
  <si>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</si>
  <si>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</si>
  <si>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</si>
  <si>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</si>
  <si>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</si>
  <si>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</si>
  <si>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</si>
  <si>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</si>
  <si>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</si>
  <si>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</si>
  <si>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</si>
  <si>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</si>
  <si>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</si>
  <si>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</si>
  <si>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</si>
  <si>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</si>
  <si>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</si>
  <si>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</si>
  <si>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</si>
  <si>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</si>
  <si>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</si>
  <si>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</si>
  <si>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</si>
  <si>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</si>
  <si>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</si>
  <si>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</si>
  <si>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</si>
  <si>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</si>
  <si>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</si>
  <si>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</si>
  <si>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</si>
  <si>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</si>
  <si>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</si>
  <si>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</si>
  <si>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</si>
  <si>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</si>
  <si>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</si>
  <si>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</si>
  <si>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</si>
  <si>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</si>
  <si>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</si>
  <si>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</si>
  <si>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</si>
  <si>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</si>
  <si>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</si>
  <si>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</si>
  <si>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</si>
  <si>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</si>
  <si>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</si>
  <si>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</si>
  <si>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</si>
  <si>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</si>
  <si>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</si>
  <si>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</si>
  <si>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</si>
  <si>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</si>
  <si>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</si>
  <si>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</si>
  <si>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</si>
  <si>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</si>
  <si>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</si>
  <si>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</si>
  <si>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</si>
  <si>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</si>
  <si>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</si>
  <si>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</si>
  <si>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</si>
  <si>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</si>
  <si>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</si>
  <si>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</si>
  <si>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</si>
  <si>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</si>
  <si>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</si>
  <si>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</si>
  <si>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</si>
  <si>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</si>
  <si>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</si>
  <si>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</si>
  <si>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</si>
  <si>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</si>
  <si>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</si>
  <si>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</si>
  <si>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</si>
  <si>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</si>
  <si>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</si>
  <si>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</si>
  <si>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</si>
  <si>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</si>
  <si>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</si>
  <si>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</si>
  <si>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</si>
  <si>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</si>
  <si>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</si>
  <si>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</si>
  <si>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</si>
  <si>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</si>
  <si>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</si>
  <si>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</si>
  <si>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</si>
  <si>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</si>
  <si>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</si>
  <si>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</si>
  <si>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</si>
  <si>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</si>
  <si>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</si>
  <si>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</si>
  <si>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</si>
  <si>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</si>
  <si>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</si>
  <si>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</si>
  <si>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</si>
  <si>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</si>
  <si>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</si>
  <si>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</si>
  <si>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</si>
  <si>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</si>
  <si>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</si>
  <si>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</si>
  <si>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</si>
  <si>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</si>
  <si>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</si>
  <si>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</si>
  <si>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</si>
  <si>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</si>
  <si>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</si>
  <si>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</si>
  <si>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</si>
  <si>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</si>
  <si>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</si>
  <si>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</si>
  <si>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</si>
  <si>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</si>
  <si>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</si>
  <si>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</si>
  <si>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</si>
  <si>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</si>
  <si>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</si>
  <si>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</si>
  <si>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</si>
  <si>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</si>
  <si>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</si>
  <si>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</si>
  <si>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</si>
  <si>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</si>
  <si>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</si>
  <si>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</si>
  <si>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</si>
  <si>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</si>
  <si>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</si>
  <si>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</si>
  <si>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</si>
  <si>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</si>
  <si>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</si>
  <si>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</si>
  <si>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</si>
  <si>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</si>
  <si>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</si>
  <si>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</si>
  <si>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</si>
  <si>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</si>
  <si>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</si>
  <si>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</si>
  <si>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</si>
  <si>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</si>
  <si>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</si>
  <si>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</si>
  <si>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</si>
  <si>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</si>
  <si>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</si>
  <si>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</si>
  <si>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</si>
  <si>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</si>
  <si>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</si>
  <si>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</si>
  <si>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</si>
  <si>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</si>
  <si>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</si>
  <si>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</si>
  <si>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</si>
  <si>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</si>
  <si>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</si>
  <si>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</si>
  <si>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</si>
  <si>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</si>
  <si>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</si>
  <si>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</si>
  <si>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</si>
  <si>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</si>
  <si>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</si>
  <si>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</si>
  <si>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</si>
  <si>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</si>
  <si>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</si>
  <si>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</si>
  <si>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</si>
  <si>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</si>
  <si>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</si>
  <si>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</si>
  <si>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</si>
  <si>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</si>
  <si>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</si>
  <si>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</si>
  <si>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</si>
  <si>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</si>
  <si>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</si>
  <si>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</si>
  <si>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</si>
  <si>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</si>
  <si>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</si>
  <si>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</si>
  <si>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</si>
  <si>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</si>
  <si>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</si>
  <si>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</si>
  <si>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</si>
  <si>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</si>
  <si>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</si>
  <si>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</si>
  <si>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</si>
  <si>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</si>
  <si>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</si>
  <si>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</si>
  <si>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</si>
  <si>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</si>
  <si>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</si>
  <si>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</si>
  <si>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</si>
  <si>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</si>
  <si>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</si>
  <si>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</si>
  <si>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</si>
  <si>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</si>
  <si>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</si>
  <si>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</si>
  <si>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</si>
  <si>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</si>
  <si>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</si>
  <si>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</si>
  <si>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</si>
  <si>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</si>
  <si>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</si>
  <si>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</si>
  <si>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</si>
  <si>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</si>
  <si>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</si>
  <si>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</si>
  <si>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</si>
  <si>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</si>
  <si>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</si>
  <si>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</si>
  <si>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</si>
  <si>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</si>
  <si>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</si>
  <si>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</si>
  <si>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</si>
  <si>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</si>
  <si>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</si>
  <si>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</si>
  <si>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</si>
  <si>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</si>
  <si>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</si>
  <si>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</si>
  <si>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</si>
  <si>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</si>
  <si>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</si>
  <si>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</si>
  <si>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</si>
  <si>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</si>
  <si>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</si>
  <si>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</si>
  <si>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</si>
  <si>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</si>
  <si>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</si>
  <si>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</si>
  <si>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</si>
  <si>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</si>
  <si>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</si>
  <si>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</si>
  <si>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</si>
  <si>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</si>
  <si>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</si>
  <si>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</si>
  <si>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</si>
  <si>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</si>
  <si>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</si>
  <si>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</si>
  <si>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</si>
  <si>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</si>
  <si>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</si>
  <si>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</si>
  <si>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</si>
  <si>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</si>
  <si>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</si>
  <si>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</si>
  <si>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</si>
  <si>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</si>
  <si>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</si>
  <si>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</si>
  <si>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</si>
  <si>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</si>
  <si>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</si>
  <si>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</si>
  <si>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</si>
  <si>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</si>
  <si>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</si>
  <si>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</si>
  <si>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</si>
  <si>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</si>
  <si>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</si>
  <si>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</si>
  <si>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</si>
  <si>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</si>
  <si>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</si>
  <si>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</si>
  <si>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</si>
  <si>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</si>
  <si>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</si>
  <si>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</si>
  <si>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</si>
  <si>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</si>
  <si>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</si>
  <si>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</si>
  <si>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</si>
  <si>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</si>
  <si>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</si>
  <si>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</si>
  <si>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</si>
  <si>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</si>
  <si>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</si>
  <si>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</si>
  <si>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</si>
  <si>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</si>
  <si>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</si>
  <si>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</si>
  <si>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</si>
  <si>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</si>
  <si>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</si>
  <si>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</si>
  <si>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</si>
  <si>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</si>
  <si>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</si>
  <si>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</si>
  <si>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</si>
  <si>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</si>
  <si>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</si>
  <si>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</si>
  <si>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</si>
  <si>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</si>
  <si>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</si>
  <si>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</si>
  <si>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</si>
  <si>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</si>
  <si>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</si>
  <si>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</si>
  <si>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</si>
  <si>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</si>
  <si>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</si>
  <si>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</si>
  <si>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</si>
  <si>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</si>
  <si>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</si>
  <si>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</si>
  <si>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</si>
  <si>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</si>
  <si>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</si>
  <si>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</si>
  <si>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</si>
  <si>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</si>
  <si>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</si>
  <si>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</si>
  <si>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</si>
  <si>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</si>
  <si>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</si>
  <si>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</si>
  <si>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</si>
  <si>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</si>
  <si>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</si>
  <si>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</si>
  <si>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</si>
  <si>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</si>
  <si>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</si>
  <si>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</si>
  <si>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</si>
  <si>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</si>
  <si>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</si>
  <si>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</si>
  <si>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</si>
  <si>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</si>
  <si>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</si>
  <si>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</si>
  <si>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</si>
  <si>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</si>
  <si>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</si>
  <si>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</si>
  <si>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</si>
  <si>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</si>
  <si>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</si>
  <si>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</si>
  <si>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</si>
  <si>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</si>
  <si>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</si>
  <si>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</si>
  <si>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</si>
  <si>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</si>
  <si>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</si>
  <si>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</si>
  <si>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</si>
  <si>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</si>
  <si>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</si>
  <si>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</si>
  <si>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</si>
  <si>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</si>
  <si>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</si>
  <si>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</si>
  <si>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</si>
  <si>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</si>
  <si>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</si>
  <si>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</si>
  <si>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</si>
  <si>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</si>
  <si>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</si>
  <si>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</si>
  <si>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</si>
  <si>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</si>
  <si>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</si>
  <si>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</si>
  <si>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</si>
  <si>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</si>
  <si>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</si>
  <si>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</si>
  <si>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</si>
  <si>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</si>
  <si>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</si>
  <si>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</si>
  <si>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</si>
  <si>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</si>
  <si>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</si>
  <si>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</si>
  <si>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</si>
  <si>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</si>
  <si>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</si>
  <si>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</si>
  <si>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</si>
  <si>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</si>
  <si>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</si>
  <si>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</si>
  <si>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</si>
  <si>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</si>
  <si>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</si>
  <si>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</si>
  <si>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</si>
  <si>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</si>
  <si>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</si>
  <si>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</si>
  <si>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</si>
  <si>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</si>
  <si>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</si>
  <si>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</si>
  <si>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</si>
  <si>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</si>
  <si>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</si>
  <si>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</si>
  <si>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</si>
  <si>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</si>
  <si>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</si>
  <si>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</si>
  <si>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</si>
  <si>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</si>
  <si>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</si>
  <si>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</si>
  <si>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</si>
  <si>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</si>
  <si>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</si>
  <si>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</si>
  <si>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</si>
  <si>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</si>
  <si>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</si>
  <si>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</si>
  <si>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</si>
  <si>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</si>
  <si>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</si>
  <si>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</si>
  <si>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</si>
  <si>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</si>
  <si>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</si>
  <si>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</si>
  <si>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</si>
  <si>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</si>
  <si>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</si>
  <si>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</si>
  <si>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</si>
  <si>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</si>
  <si>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</si>
  <si>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</si>
  <si>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</si>
  <si>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</si>
  <si>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</si>
  <si>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</si>
  <si>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</si>
  <si>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</si>
  <si>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</si>
  <si>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</si>
  <si>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</si>
  <si>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</si>
  <si>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</si>
  <si>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</si>
  <si>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</si>
  <si>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</si>
  <si>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</si>
  <si>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</si>
  <si>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</si>
  <si>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</si>
  <si>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</si>
  <si>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</si>
  <si>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</si>
  <si>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</si>
  <si>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</si>
  <si>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</si>
  <si>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</si>
  <si>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</si>
  <si>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</si>
  <si>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</si>
  <si>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</si>
  <si>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</si>
  <si>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</si>
  <si>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</si>
  <si>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</si>
  <si>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</si>
  <si>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</si>
  <si>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</si>
  <si>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</si>
  <si>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</si>
  <si>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</si>
  <si>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</si>
  <si>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</si>
  <si>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</si>
  <si>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</si>
  <si>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</si>
  <si>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</si>
  <si>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</si>
  <si>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</si>
  <si>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</si>
  <si>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</si>
  <si>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</si>
  <si>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</si>
  <si>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</si>
  <si>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</si>
  <si>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</si>
  <si>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</si>
  <si>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</si>
  <si>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</si>
  <si>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</si>
  <si>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</si>
  <si>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</si>
  <si>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</si>
  <si>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</si>
  <si>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</si>
  <si>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</si>
  <si>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</si>
  <si>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</si>
  <si>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</si>
  <si>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</si>
  <si>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</si>
  <si>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</si>
  <si>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</si>
  <si>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</si>
  <si>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</si>
  <si>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</si>
  <si>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</si>
  <si>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</si>
  <si>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</si>
  <si>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</si>
  <si>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</si>
  <si>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</si>
  <si>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</si>
  <si>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</si>
  <si>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</si>
  <si>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</si>
  <si>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</si>
  <si>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</si>
  <si>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</si>
  <si>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</si>
  <si>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</si>
  <si>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</si>
  <si>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</si>
  <si>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</si>
  <si>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</si>
  <si>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</si>
  <si>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</si>
  <si>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</si>
  <si>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</si>
  <si>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</si>
  <si>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</si>
  <si>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</si>
  <si>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</si>
  <si>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</si>
  <si>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</si>
  <si>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</si>
  <si>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</si>
  <si>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</si>
  <si>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</si>
  <si>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</si>
  <si>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</si>
  <si>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</si>
  <si>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</si>
  <si>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</si>
  <si>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</si>
  <si>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</si>
  <si>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</si>
  <si>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</si>
  <si>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</si>
  <si>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</si>
  <si>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</si>
  <si>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</si>
  <si>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</si>
  <si>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</si>
  <si>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</si>
  <si>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</si>
  <si>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</si>
  <si>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</si>
  <si>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</si>
  <si>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</si>
  <si>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</si>
  <si>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</si>
  <si>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</si>
  <si>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</si>
  <si>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</si>
  <si>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</si>
  <si>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</si>
  <si>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</si>
  <si>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</si>
  <si>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</si>
  <si>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</si>
  <si>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</si>
  <si>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</si>
  <si>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</si>
  <si>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</si>
  <si>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</si>
  <si>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</si>
  <si>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</si>
  <si>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</si>
  <si>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</si>
  <si>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</si>
  <si>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</si>
  <si>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</si>
  <si>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</si>
  <si>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</si>
  <si>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</si>
  <si>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</si>
  <si>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</si>
  <si>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</si>
  <si>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</si>
  <si>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</si>
  <si>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</si>
  <si>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</si>
  <si>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</si>
  <si>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</si>
  <si>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</si>
  <si>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</si>
  <si>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</si>
  <si>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</si>
  <si>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</si>
  <si>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</si>
  <si>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</si>
  <si>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</si>
  <si>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</si>
  <si>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</si>
  <si>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</si>
  <si>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</si>
  <si>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</si>
  <si>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</si>
  <si>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</si>
  <si>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</si>
  <si>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</si>
  <si>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</si>
  <si>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</si>
  <si>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</si>
  <si>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</si>
  <si>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</si>
  <si>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</si>
  <si>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</si>
  <si>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</si>
  <si>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</si>
  <si>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</si>
  <si>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</si>
  <si>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</si>
  <si>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</si>
  <si>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</si>
  <si>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</si>
  <si>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</si>
  <si>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</si>
  <si>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</si>
  <si>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</si>
  <si>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</si>
  <si>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</si>
  <si>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</si>
  <si>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</si>
  <si>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</si>
  <si>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</si>
  <si>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</si>
  <si>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</si>
  <si>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</si>
  <si>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</si>
  <si>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</si>
  <si>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</si>
  <si>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</si>
  <si>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</si>
  <si>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</si>
  <si>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</si>
  <si>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</si>
  <si>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</si>
  <si>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</si>
  <si>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</si>
  <si>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</si>
  <si>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</si>
  <si>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</si>
  <si>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</si>
  <si>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</si>
  <si>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</si>
  <si>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</si>
  <si>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</si>
  <si>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</si>
  <si>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</si>
  <si>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</si>
  <si>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</si>
  <si>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</si>
  <si>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</si>
  <si>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</si>
  <si>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</si>
  <si>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</si>
  <si>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</si>
  <si>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</si>
  <si>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</si>
  <si>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</si>
  <si>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</si>
  <si>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</si>
  <si>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</si>
  <si>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</si>
  <si>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</si>
  <si>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</si>
  <si>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</si>
  <si>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</si>
  <si>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</si>
  <si>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</si>
  <si>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</si>
  <si>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</si>
  <si>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</si>
  <si>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</si>
  <si>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</si>
  <si>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</si>
  <si>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</si>
  <si>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</si>
  <si>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</si>
  <si>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</si>
  <si>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</si>
  <si>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</si>
  <si>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</si>
  <si>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</si>
  <si>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</si>
  <si>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</si>
  <si>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</si>
  <si>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</si>
  <si>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</si>
  <si>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</si>
  <si>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</si>
  <si>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</si>
  <si>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</si>
  <si>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</si>
  <si>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</si>
  <si>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</si>
  <si>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</si>
  <si>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</si>
  <si>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</si>
  <si>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</si>
  <si>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</si>
  <si>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</si>
  <si>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</si>
  <si>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</si>
  <si>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</si>
  <si>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</si>
  <si>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</si>
  <si>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</si>
  <si>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</si>
  <si>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</si>
  <si>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</si>
  <si>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</si>
  <si>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</si>
  <si>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</si>
  <si>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</si>
  <si>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</si>
  <si>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</si>
  <si>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</si>
  <si>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</si>
  <si>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</si>
  <si>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</si>
  <si>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</si>
  <si>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</si>
  <si>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</si>
  <si>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</si>
  <si>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</si>
  <si>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</si>
  <si>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</si>
  <si>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</si>
  <si>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</si>
  <si>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</si>
  <si>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</si>
  <si>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</si>
  <si>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</si>
  <si>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</si>
  <si>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</si>
  <si>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</si>
  <si>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</si>
  <si>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</si>
  <si>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</si>
  <si>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</si>
  <si>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</si>
  <si>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</si>
  <si>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</si>
  <si>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</si>
  <si>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</si>
  <si>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</si>
  <si>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</si>
  <si>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</si>
  <si>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</si>
  <si>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</si>
  <si>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</si>
  <si>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</si>
  <si>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</si>
  <si>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</si>
  <si>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</si>
  <si>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</si>
  <si>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</si>
  <si>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</si>
  <si>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</si>
  <si>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</si>
  <si>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</si>
  <si>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</si>
  <si>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</si>
  <si>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</si>
  <si>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</si>
  <si>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</si>
  <si>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</si>
  <si>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</si>
  <si>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</si>
  <si>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</si>
  <si>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</si>
  <si>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</si>
  <si>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</si>
  <si>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</si>
  <si>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</si>
  <si>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</si>
  <si>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</si>
  <si>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</si>
  <si>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</si>
  <si>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</si>
  <si>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</si>
  <si>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</si>
  <si>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</si>
  <si>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</si>
  <si>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</si>
  <si>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</si>
  <si>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</si>
  <si>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</si>
  <si>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</si>
  <si>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</si>
  <si>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</si>
  <si>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</si>
  <si>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</si>
  <si>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</si>
  <si>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</si>
  <si>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</si>
  <si>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</si>
  <si>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</si>
  <si>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</si>
  <si>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</si>
  <si>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</si>
  <si>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</si>
  <si>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</si>
  <si>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</si>
  <si>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</si>
  <si>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</si>
  <si>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</si>
  <si>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</si>
  <si>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</si>
  <si>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</si>
  <si>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</si>
  <si>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</si>
  <si>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</si>
  <si>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</si>
  <si>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</si>
  <si>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</si>
  <si>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</si>
  <si>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</si>
  <si>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</si>
  <si>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</si>
  <si>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</si>
  <si>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</si>
  <si>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</si>
  <si>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</si>
  <si>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</si>
  <si>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</si>
  <si>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</si>
  <si>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</si>
  <si>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</si>
  <si>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</si>
  <si>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</si>
  <si>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</si>
  <si>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</si>
  <si>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</si>
  <si>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</si>
  <si>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</si>
  <si>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</si>
  <si>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</si>
  <si>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</si>
  <si>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</si>
  <si>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</si>
  <si>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</si>
  <si>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</si>
  <si>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</si>
  <si>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</si>
  <si>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</si>
  <si>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</si>
  <si>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</si>
  <si>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</si>
  <si>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</si>
  <si>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</si>
  <si>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</si>
  <si>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</si>
  <si>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</si>
  <si>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</si>
  <si>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</si>
  <si>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</si>
  <si>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</si>
  <si>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</si>
  <si>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</si>
  <si>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</si>
  <si>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</si>
  <si>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</si>
  <si>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</si>
  <si>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</si>
  <si>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</si>
  <si>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</si>
  <si>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</si>
  <si>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</si>
  <si>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</si>
  <si>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</si>
  <si>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</si>
  <si>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</si>
  <si>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</si>
  <si>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</si>
  <si>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</si>
  <si>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</si>
  <si>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</si>
  <si>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</si>
  <si>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</si>
  <si>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</si>
  <si>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</si>
  <si>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</si>
  <si>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</si>
  <si>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</si>
  <si>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</si>
  <si>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</si>
  <si>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</si>
  <si>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</si>
  <si>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</si>
  <si>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</si>
  <si>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</si>
  <si>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</si>
  <si>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</si>
  <si>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</si>
  <si>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</si>
  <si>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</si>
  <si>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</si>
  <si>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</si>
  <si>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</si>
  <si>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</si>
  <si>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</si>
  <si>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</si>
  <si>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</si>
  <si>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</si>
  <si>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</si>
  <si>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</si>
  <si>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</si>
  <si>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</si>
  <si>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</si>
  <si>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</si>
  <si>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</si>
  <si>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</si>
  <si>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</si>
  <si>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</si>
  <si>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</si>
  <si>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</si>
  <si>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</si>
  <si>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</si>
  <si>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</si>
  <si>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</si>
  <si>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</si>
  <si>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</si>
  <si>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</si>
  <si>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</si>
  <si>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</si>
  <si>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</si>
  <si>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</si>
  <si>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</si>
  <si>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</si>
  <si>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</si>
  <si>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</si>
  <si>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</si>
  <si>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</si>
  <si>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</si>
  <si>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</si>
  <si>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</si>
  <si>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</si>
  <si>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</si>
  <si>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</si>
  <si>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</si>
  <si>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</si>
  <si>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</si>
  <si>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</si>
  <si>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</si>
  <si>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</si>
  <si>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</si>
  <si>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</si>
  <si>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</si>
  <si>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</si>
  <si>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</si>
  <si>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</si>
  <si>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</si>
  <si>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</si>
  <si>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</si>
  <si>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</si>
  <si>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</si>
  <si>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</si>
  <si>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</si>
  <si>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</si>
  <si>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</si>
  <si>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</si>
  <si>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</si>
  <si>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</si>
  <si>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</si>
  <si>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</si>
  <si>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</si>
  <si>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</si>
  <si>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</si>
  <si>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</si>
  <si>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</si>
  <si>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</si>
  <si>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</si>
  <si>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</si>
  <si>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</si>
  <si>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</si>
  <si>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</si>
  <si>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</si>
  <si>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</si>
  <si>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</si>
  <si>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</si>
  <si>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</si>
  <si>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</si>
  <si>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</si>
  <si>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</si>
  <si>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</si>
  <si>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</si>
  <si>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</si>
  <si>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</si>
  <si>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</si>
  <si>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</si>
  <si>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</si>
  <si>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</si>
  <si>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</si>
  <si>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</si>
  <si>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</si>
  <si>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</si>
  <si>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</si>
  <si>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</si>
  <si>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</si>
  <si>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</si>
  <si>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</si>
  <si>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</si>
  <si>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</si>
  <si>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</si>
  <si>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</si>
  <si>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</si>
  <si>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</si>
  <si>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</si>
  <si>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</si>
  <si>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</si>
  <si>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</si>
  <si>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</si>
  <si>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</si>
  <si>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</si>
  <si>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</si>
  <si>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</si>
  <si>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</si>
  <si>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</si>
  <si>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</si>
  <si>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</si>
  <si>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</si>
  <si>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</si>
  <si>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</si>
  <si>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</si>
  <si>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</si>
  <si>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</si>
  <si>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</si>
  <si>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</si>
  <si>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</si>
  <si>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</si>
  <si>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</si>
  <si>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</si>
  <si>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</si>
  <si>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</si>
  <si>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</si>
  <si>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</si>
  <si>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</si>
  <si>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</si>
  <si>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</si>
  <si>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</si>
  <si>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</si>
  <si>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</si>
  <si>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</si>
  <si>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</si>
  <si>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</si>
  <si>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</si>
  <si>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</si>
  <si>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</si>
  <si>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</si>
  <si>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</si>
  <si>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</si>
  <si>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</si>
  <si>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</si>
  <si>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</si>
  <si>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</si>
  <si>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</si>
  <si>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</si>
  <si>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</si>
  <si>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</si>
  <si>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</si>
  <si>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</si>
  <si>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</si>
  <si>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</si>
  <si>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</si>
  <si>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</si>
  <si>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</si>
  <si>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</si>
  <si>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</si>
  <si>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</si>
  <si>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</si>
  <si>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</si>
  <si>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</si>
  <si>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</si>
  <si>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</si>
  <si>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</si>
  <si>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</si>
  <si>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</si>
  <si>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</si>
  <si>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</si>
  <si>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</si>
  <si>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</si>
  <si>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</si>
  <si>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</si>
  <si>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</si>
  <si>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</si>
  <si>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</si>
  <si>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</si>
  <si>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</si>
  <si>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</si>
  <si>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</si>
  <si>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</si>
  <si>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</si>
  <si>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</si>
  <si>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</si>
  <si>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</si>
  <si>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</si>
  <si>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</si>
  <si>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</si>
  <si>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</si>
  <si>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</si>
  <si>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</si>
  <si>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</si>
  <si>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</si>
  <si>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</si>
  <si>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</si>
  <si>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</si>
  <si>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</si>
  <si>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</si>
  <si>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</si>
  <si>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</si>
  <si>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</si>
  <si>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</si>
  <si>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</si>
  <si>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</si>
  <si>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</si>
  <si>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</si>
  <si>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</si>
  <si>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</si>
  <si>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</si>
  <si>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</si>
  <si>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</si>
  <si>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</si>
  <si>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</si>
  <si>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</si>
  <si>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</si>
  <si>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</si>
  <si>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</si>
  <si>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</si>
  <si>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</si>
  <si>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</si>
  <si>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</si>
  <si>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</si>
  <si>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</si>
  <si>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</si>
  <si>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</si>
  <si>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</si>
  <si>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</si>
  <si>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</si>
  <si>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</si>
  <si>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</si>
  <si>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</si>
  <si>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</si>
  <si>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</si>
  <si>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</si>
  <si>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</si>
  <si>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</si>
  <si>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</si>
  <si>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</si>
  <si>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</si>
  <si>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</si>
  <si>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</si>
  <si>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</si>
  <si>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</si>
  <si>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</si>
  <si>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</si>
  <si>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</si>
  <si>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</si>
  <si>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</si>
  <si>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</si>
  <si>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</si>
  <si>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</si>
  <si>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</si>
  <si>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</si>
  <si>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</si>
  <si>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</si>
  <si>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</si>
  <si>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</si>
  <si>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</si>
  <si>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</si>
  <si>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</si>
  <si>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</si>
  <si>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</si>
  <si>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</si>
  <si>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</si>
  <si>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</si>
  <si>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</si>
  <si>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</si>
  <si>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</si>
  <si>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</si>
  <si>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</si>
  <si>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</si>
  <si>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</si>
  <si>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</si>
  <si>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</si>
  <si>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</si>
  <si>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</si>
  <si>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</si>
  <si>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</si>
  <si>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</si>
  <si>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</si>
  <si>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</si>
  <si>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</si>
  <si>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</si>
  <si>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</si>
  <si>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</si>
  <si>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</si>
  <si>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</si>
  <si>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</si>
  <si>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</si>
  <si>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</si>
  <si>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</si>
  <si>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</si>
  <si>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</si>
  <si>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</si>
  <si>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</si>
  <si>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</si>
  <si>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</si>
  <si>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</si>
  <si>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</si>
  <si>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</si>
  <si>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</si>
  <si>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</si>
  <si>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</si>
  <si>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</si>
  <si>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</si>
  <si>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</si>
  <si>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</si>
  <si>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</si>
  <si>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</si>
  <si>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</si>
  <si>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</si>
  <si>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</si>
  <si>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</si>
  <si>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</si>
  <si>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</si>
  <si>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</si>
  <si>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</si>
  <si>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</si>
  <si>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</si>
  <si>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</si>
  <si>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</si>
  <si>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</si>
  <si>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</si>
  <si>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</si>
  <si>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</si>
  <si>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</si>
  <si>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</si>
  <si>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</si>
  <si>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</si>
  <si>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</si>
  <si>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</si>
  <si>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</si>
  <si>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</si>
  <si>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</si>
  <si>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</si>
  <si>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</si>
  <si>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</si>
  <si>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</si>
  <si>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</si>
  <si>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</si>
  <si>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</si>
  <si>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</si>
  <si>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</si>
  <si>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</si>
  <si>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</si>
  <si>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</si>
  <si>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</si>
  <si>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</si>
  <si>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</si>
  <si>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</si>
  <si>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</si>
  <si>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</si>
  <si>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</si>
  <si>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</si>
  <si>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</si>
  <si>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</si>
  <si>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</si>
  <si>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</si>
  <si>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</si>
  <si>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</si>
  <si>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</si>
  <si>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</si>
  <si>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</si>
  <si>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</si>
  <si>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</si>
  <si>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</si>
  <si>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</si>
  <si>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</si>
  <si>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</si>
  <si>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</si>
  <si>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</si>
  <si>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</si>
  <si>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</si>
  <si>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</si>
  <si>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</si>
  <si>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</si>
  <si>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</si>
  <si>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</si>
  <si>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</si>
  <si>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</si>
  <si>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</si>
  <si>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</si>
  <si>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</si>
  <si>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</si>
  <si>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</si>
  <si>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</si>
  <si>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</si>
  <si>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</si>
  <si>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</si>
  <si>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</si>
  <si>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</si>
  <si>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</si>
  <si>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</si>
  <si>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</si>
  <si>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</si>
  <si>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</si>
  <si>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</si>
  <si>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</si>
  <si>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</si>
  <si>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</si>
  <si>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</si>
  <si>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</si>
  <si>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</si>
  <si>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</si>
  <si>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</si>
  <si>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</si>
  <si>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</si>
  <si>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</si>
  <si>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</si>
  <si>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</si>
  <si>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</si>
  <si>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</si>
  <si>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</si>
  <si>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</si>
  <si>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</si>
  <si>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</si>
  <si>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</si>
  <si>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</si>
  <si>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</si>
  <si>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</si>
  <si>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</si>
  <si>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</si>
  <si>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</si>
  <si>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</si>
  <si>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</si>
  <si>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</si>
  <si>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</si>
  <si>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</si>
  <si>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</si>
  <si>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</si>
  <si>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</si>
  <si>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</si>
  <si>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</si>
  <si>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</si>
  <si>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</si>
  <si>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</si>
  <si>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</si>
  <si>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</si>
  <si>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</si>
  <si>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</si>
  <si>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</si>
  <si>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</si>
  <si>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</si>
  <si>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</si>
  <si>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</si>
  <si>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</si>
  <si>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</si>
  <si>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</si>
  <si>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</si>
  <si>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</si>
  <si>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</si>
  <si>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</si>
  <si>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</si>
  <si>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</si>
  <si>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</si>
  <si>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</si>
  <si>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</si>
  <si>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</si>
  <si>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</si>
  <si>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</si>
  <si>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</si>
  <si>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</si>
  <si>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</si>
  <si>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</si>
  <si>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</si>
  <si>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</si>
  <si>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</si>
  <si>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</si>
  <si>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</si>
  <si>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</si>
  <si>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</si>
  <si>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</si>
  <si>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</si>
  <si>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</si>
  <si>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</si>
  <si>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</si>
  <si>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</si>
  <si>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</si>
  <si>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</si>
  <si>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</si>
  <si>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</si>
  <si>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</si>
  <si>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</si>
  <si>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</si>
  <si>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</si>
  <si>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</si>
  <si>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</si>
  <si>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</si>
  <si>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</si>
  <si>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</si>
  <si>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</si>
  <si>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</si>
  <si>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</si>
  <si>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</si>
  <si>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</si>
  <si>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</si>
  <si>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</si>
  <si>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</si>
  <si>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</si>
  <si>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</si>
  <si>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</si>
  <si>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</si>
  <si>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</si>
  <si>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</si>
  <si>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</si>
  <si>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</si>
  <si>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</si>
  <si>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</si>
  <si>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</si>
  <si>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</si>
  <si>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</si>
  <si>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</si>
  <si>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</si>
  <si>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</si>
  <si>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</si>
  <si>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</si>
  <si>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</si>
  <si>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</si>
  <si>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</si>
  <si>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</si>
  <si>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</si>
  <si>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</si>
  <si>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</si>
  <si>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</si>
  <si>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</si>
  <si>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</si>
  <si>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</si>
  <si>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</si>
  <si>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</si>
  <si>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</si>
  <si>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</si>
  <si>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</si>
  <si>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</si>
  <si>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</si>
  <si>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</si>
  <si>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</si>
  <si>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</si>
  <si>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</si>
  <si>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</si>
  <si>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</si>
  <si>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</si>
  <si>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</si>
  <si>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</si>
  <si>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</si>
  <si>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</si>
  <si>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</si>
  <si>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</si>
  <si>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</si>
  <si>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</si>
  <si>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</si>
  <si>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</si>
  <si>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</si>
  <si>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</si>
  <si>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</si>
  <si>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</si>
  <si>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</si>
  <si>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</si>
  <si>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</si>
  <si>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</si>
  <si>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</si>
  <si>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</si>
  <si>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</si>
  <si>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</si>
  <si>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</si>
  <si>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</si>
  <si>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</si>
  <si>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</si>
  <si>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</si>
  <si>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</si>
  <si>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</si>
  <si>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</si>
  <si>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</si>
  <si>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</si>
  <si>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</si>
  <si>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</si>
  <si>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</si>
  <si>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</si>
  <si>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</si>
  <si>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</si>
  <si>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</si>
  <si>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</si>
  <si>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</si>
  <si>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</si>
  <si>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</si>
  <si>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</si>
  <si>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</si>
  <si>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</si>
  <si>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</si>
  <si>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</si>
  <si>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</si>
  <si>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</si>
  <si>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</si>
  <si>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</si>
  <si>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</si>
  <si>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</si>
  <si>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</si>
  <si>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</si>
  <si>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</si>
  <si>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</si>
  <si>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</si>
  <si>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</si>
  <si>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</si>
  <si>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</si>
  <si>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</si>
  <si>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</si>
  <si>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</si>
  <si>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</si>
  <si>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</si>
  <si>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</si>
  <si>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</si>
  <si>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</si>
  <si>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</si>
  <si>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</si>
  <si>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</si>
  <si>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</si>
  <si>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</si>
  <si>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</si>
  <si>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</si>
  <si>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</si>
  <si>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</si>
  <si>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</si>
  <si>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</si>
  <si>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</si>
  <si>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</si>
  <si>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</si>
  <si>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</si>
  <si>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</si>
  <si>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</si>
  <si>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</si>
  <si>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</si>
  <si>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</si>
  <si>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</si>
  <si>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</si>
  <si>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</si>
  <si>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</si>
  <si>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</si>
  <si>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</si>
  <si>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</si>
  <si>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</si>
  <si>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</si>
  <si>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</si>
  <si>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</si>
  <si>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</si>
  <si>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</si>
  <si>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</si>
  <si>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</si>
  <si>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</si>
  <si>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</si>
  <si>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</si>
  <si>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</si>
  <si>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</si>
  <si>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</si>
  <si>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</si>
  <si>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</si>
  <si>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</si>
  <si>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</si>
  <si>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</si>
  <si>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</si>
  <si>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</si>
  <si>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</si>
  <si>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</si>
  <si>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</si>
  <si>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</si>
  <si>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</si>
  <si>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</si>
  <si>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</si>
  <si>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</si>
  <si>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</si>
  <si>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</si>
  <si>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</si>
  <si>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</si>
  <si>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</si>
  <si>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</si>
  <si>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</si>
  <si>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</si>
  <si>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</si>
  <si>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</si>
  <si>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</si>
  <si>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</si>
  <si>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</si>
  <si>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</si>
  <si>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</si>
  <si>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</si>
  <si>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</si>
  <si>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</si>
  <si>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</si>
  <si>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</si>
  <si>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</si>
  <si>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</si>
  <si>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</si>
  <si>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</si>
  <si>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</si>
  <si>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</si>
  <si>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</si>
  <si>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</si>
  <si>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</si>
  <si>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</si>
  <si>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</si>
  <si>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</si>
  <si>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</si>
  <si>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</si>
  <si>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</si>
  <si>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</si>
  <si>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</si>
  <si>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</si>
  <si>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</si>
  <si>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</si>
  <si>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</si>
  <si>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</si>
  <si>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</si>
  <si>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</si>
  <si>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</si>
  <si>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</si>
  <si>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</si>
  <si>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</si>
  <si>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</si>
  <si>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</si>
  <si>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</si>
  <si>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</si>
  <si>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</si>
  <si>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</si>
  <si>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</si>
  <si>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</si>
  <si>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</si>
  <si>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</si>
  <si>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</si>
  <si>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</si>
  <si>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</si>
  <si>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</si>
  <si>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</si>
  <si>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</si>
  <si>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</si>
  <si>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</si>
  <si>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</si>
  <si>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</si>
  <si>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</si>
  <si>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</si>
  <si>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</si>
  <si>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</si>
  <si>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</si>
  <si>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</si>
  <si>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</si>
  <si>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</si>
  <si>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</si>
  <si>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</si>
  <si>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</si>
  <si>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</si>
  <si>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</si>
  <si>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</si>
  <si>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</si>
  <si>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</si>
  <si>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</si>
  <si>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</si>
  <si>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</si>
  <si>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</si>
  <si>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</si>
  <si>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</si>
  <si>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</si>
  <si>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</si>
  <si>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</si>
  <si>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</si>
  <si>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</si>
  <si>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</si>
  <si>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</si>
  <si>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</si>
  <si>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</si>
  <si>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</si>
  <si>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</si>
  <si>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</si>
  <si>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</si>
  <si>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</si>
  <si>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</si>
  <si>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</si>
  <si>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</si>
  <si>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</si>
  <si>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</si>
  <si>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</si>
  <si>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</si>
  <si>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</si>
  <si>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</si>
  <si>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</si>
  <si>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</si>
  <si>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</si>
  <si>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</si>
  <si>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</si>
  <si>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</si>
  <si>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</si>
  <si>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</si>
  <si>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</si>
  <si>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</si>
  <si>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</si>
  <si>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</si>
  <si>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</si>
  <si>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</si>
  <si>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</si>
  <si>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</si>
  <si>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</si>
  <si>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</si>
  <si>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</si>
  <si>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</si>
  <si>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</si>
  <si>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</si>
  <si>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</si>
  <si>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</si>
  <si>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</si>
  <si>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</si>
  <si>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</si>
  <si>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</si>
  <si>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</si>
  <si>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</si>
  <si>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</si>
  <si>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</si>
  <si>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</si>
  <si>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</si>
  <si>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</si>
  <si>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</si>
  <si>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</si>
  <si>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</si>
  <si>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</si>
  <si>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</si>
  <si>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</si>
  <si>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</si>
  <si>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</si>
  <si>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</si>
  <si>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</si>
  <si>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</si>
  <si>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</si>
  <si>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</si>
  <si>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</si>
  <si>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</si>
  <si>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</si>
  <si>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</si>
  <si>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</si>
  <si>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</si>
  <si>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</si>
  <si>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</si>
  <si>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</si>
  <si>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</si>
  <si>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</si>
  <si>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</si>
  <si>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</si>
  <si>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</si>
  <si>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</si>
  <si>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</si>
  <si>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</si>
  <si>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</si>
  <si>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</si>
  <si>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</si>
  <si>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</si>
  <si>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</si>
  <si>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</si>
  <si>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</si>
  <si>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</si>
  <si>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</si>
  <si>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</si>
  <si>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</si>
  <si>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</si>
  <si>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</si>
  <si>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</si>
  <si>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</si>
  <si>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</si>
  <si>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</si>
  <si>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</si>
  <si>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</si>
  <si>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</si>
  <si>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</si>
  <si>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</si>
  <si>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</si>
  <si>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</si>
  <si>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</si>
  <si>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</si>
  <si>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</si>
  <si>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</si>
  <si>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</si>
  <si>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</si>
  <si>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</si>
  <si>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</si>
  <si>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</si>
  <si>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</si>
  <si>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</si>
  <si>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</si>
  <si>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</si>
  <si>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</si>
  <si>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</si>
  <si>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</si>
  <si>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</si>
  <si>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</si>
  <si>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</si>
  <si>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</si>
  <si>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</si>
  <si>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</si>
  <si>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</si>
  <si>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</si>
  <si>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</si>
  <si>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</si>
  <si>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</si>
  <si>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</si>
  <si>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</si>
  <si>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</si>
  <si>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</si>
  <si>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</si>
  <si>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</si>
  <si>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</si>
  <si>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</si>
  <si>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</si>
  <si>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</si>
  <si>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</si>
  <si>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</si>
  <si>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</si>
  <si>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</si>
  <si>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</si>
  <si>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</si>
  <si>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</si>
  <si>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</si>
  <si>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</si>
  <si>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</si>
  <si>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</si>
  <si>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</si>
  <si>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</si>
  <si>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</si>
  <si>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</si>
  <si>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</si>
  <si>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</si>
  <si>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</si>
  <si>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</si>
  <si>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</si>
  <si>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</si>
  <si>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</si>
  <si>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</si>
  <si>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</si>
  <si>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</si>
  <si>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</si>
  <si>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</si>
  <si>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</si>
  <si>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</si>
  <si>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</si>
  <si>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</si>
  <si>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</si>
  <si>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</si>
  <si>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</si>
  <si>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</si>
  <si>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</si>
  <si>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</si>
  <si>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</si>
  <si>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</si>
  <si>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</si>
  <si>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</si>
  <si>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</si>
  <si>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</si>
  <si>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</si>
  <si>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</si>
  <si>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</si>
  <si>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</si>
  <si>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</si>
  <si>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</si>
  <si>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</si>
  <si>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</si>
  <si>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</si>
  <si>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</si>
  <si>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</si>
  <si>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</si>
  <si>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</si>
  <si>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</si>
  <si>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</si>
  <si>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</si>
  <si>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</si>
  <si>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</si>
  <si>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</si>
  <si>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</si>
  <si>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</si>
  <si>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</si>
  <si>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</si>
  <si>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</si>
  <si>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</si>
  <si>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</si>
  <si>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</si>
  <si>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</si>
  <si>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</si>
  <si>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</si>
  <si>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</si>
  <si>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</si>
  <si>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</si>
  <si>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</si>
  <si>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</si>
  <si>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</si>
  <si>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</si>
  <si>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</si>
  <si>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</si>
  <si>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</si>
  <si>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</si>
  <si>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</si>
  <si>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</si>
  <si>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</si>
  <si>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</si>
  <si>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</si>
  <si>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</si>
  <si>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</si>
  <si>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</si>
  <si>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</si>
  <si>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</si>
  <si>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</si>
  <si>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</si>
  <si>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</si>
  <si>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</si>
  <si>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</si>
  <si>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</si>
  <si>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</si>
  <si>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</si>
  <si>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</si>
  <si>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</si>
  <si>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</si>
  <si>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</si>
  <si>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</si>
  <si>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</si>
  <si>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</si>
  <si>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</si>
  <si>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</si>
  <si>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</si>
  <si>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</si>
  <si>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</si>
  <si>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</si>
  <si>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</si>
  <si>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</si>
  <si>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</si>
  <si>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</si>
  <si>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</si>
  <si>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</si>
  <si>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</si>
  <si>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</si>
  <si>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</si>
  <si>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</si>
  <si>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</si>
  <si>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</si>
  <si>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</si>
  <si>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</si>
  <si>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</si>
  <si>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</si>
  <si>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</si>
  <si>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</si>
  <si>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</si>
  <si>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</si>
  <si>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</si>
  <si>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</si>
  <si>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</si>
  <si>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</si>
  <si>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</si>
  <si>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</si>
  <si>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</si>
  <si>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</si>
  <si>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</si>
  <si>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</si>
  <si>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</si>
  <si>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</si>
  <si>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</si>
  <si>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</si>
  <si>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</si>
  <si>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</si>
  <si>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</si>
  <si>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</si>
  <si>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</si>
  <si>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</si>
  <si>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</si>
  <si>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</si>
  <si>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</si>
  <si>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</si>
  <si>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</si>
  <si>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</si>
  <si>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</si>
  <si>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</si>
  <si>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</si>
  <si>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</si>
  <si>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</si>
  <si>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</si>
  <si>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</si>
  <si>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</si>
  <si>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</si>
  <si>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</si>
  <si>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</si>
  <si>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</si>
  <si>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</si>
  <si>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</si>
  <si>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</si>
  <si>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</si>
  <si>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</si>
  <si>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</si>
  <si>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</si>
  <si>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</si>
  <si>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</si>
  <si>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</si>
  <si>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</si>
  <si>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</si>
  <si>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</si>
  <si>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</si>
  <si>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</si>
  <si>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</si>
  <si>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</si>
  <si>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</si>
  <si>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</si>
  <si>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</si>
  <si>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</si>
  <si>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</si>
  <si>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</si>
  <si>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</si>
  <si>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</si>
  <si>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</si>
  <si>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</si>
  <si>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</si>
  <si>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</si>
  <si>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</si>
  <si>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</si>
  <si>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</si>
  <si>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</si>
  <si>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</si>
  <si>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</si>
  <si>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</si>
  <si>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</si>
  <si>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</si>
  <si>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</si>
  <si>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</si>
  <si>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</si>
  <si>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</si>
  <si>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</si>
  <si>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</si>
  <si>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</si>
  <si>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</si>
  <si>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</si>
  <si>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</si>
  <si>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</si>
  <si>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</si>
  <si>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</si>
  <si>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</si>
  <si>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</si>
  <si>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</si>
  <si>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</si>
  <si>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</si>
  <si>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</si>
  <si>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</si>
  <si>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</si>
  <si>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</si>
  <si>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</si>
  <si>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</si>
  <si>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</si>
  <si>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</si>
  <si>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</si>
  <si>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</si>
  <si>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</si>
  <si>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</si>
  <si>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</si>
  <si>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</si>
  <si>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</si>
  <si>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</si>
  <si>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</si>
  <si>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</si>
  <si>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</si>
  <si>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</si>
  <si>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</si>
  <si>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</si>
  <si>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</si>
  <si>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</si>
  <si>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</si>
  <si>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</si>
  <si>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</si>
  <si>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</si>
  <si>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</si>
  <si>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</si>
  <si>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</si>
  <si>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</si>
  <si>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</si>
  <si>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</si>
  <si>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</si>
  <si>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</si>
  <si>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</si>
  <si>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</si>
  <si>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</si>
  <si>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</si>
  <si>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</si>
  <si>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</si>
  <si>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</si>
  <si>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</si>
  <si>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</si>
  <si>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</si>
  <si>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</si>
  <si>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</si>
  <si>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</si>
  <si>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</si>
  <si>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</si>
  <si>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</si>
  <si>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</si>
  <si>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</si>
  <si>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</si>
  <si>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</si>
  <si>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</si>
  <si>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</si>
  <si>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</si>
  <si>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</si>
  <si>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</si>
  <si>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</si>
  <si>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</si>
  <si>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</si>
  <si>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</si>
  <si>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</si>
  <si>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</si>
  <si>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</si>
  <si>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</si>
  <si>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</si>
  <si>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</si>
  <si>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</si>
  <si>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</si>
  <si>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</si>
  <si>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</si>
  <si>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</si>
  <si>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</si>
  <si>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</si>
  <si>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</si>
  <si>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</si>
  <si>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</si>
  <si>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</si>
  <si>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</si>
  <si>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</si>
  <si>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</si>
  <si>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</si>
  <si>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</si>
  <si>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</si>
  <si>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</si>
  <si>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</si>
  <si>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</si>
  <si>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</si>
  <si>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</si>
  <si>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</si>
  <si>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</si>
  <si>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</si>
  <si>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</si>
  <si>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</si>
  <si>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</si>
  <si>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</si>
  <si>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</si>
  <si>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</si>
  <si>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</si>
  <si>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</si>
  <si>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</si>
  <si>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</si>
  <si>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</si>
  <si>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</si>
  <si>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</si>
  <si>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</si>
  <si>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</si>
  <si>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</si>
  <si>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</si>
  <si>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</si>
  <si>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</si>
  <si>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</si>
  <si>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</si>
  <si>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</si>
  <si>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</si>
  <si>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</si>
  <si>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</si>
  <si>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</si>
  <si>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</si>
  <si>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</si>
  <si>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</si>
  <si>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</si>
  <si>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</si>
  <si>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</si>
  <si>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</si>
  <si>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</si>
  <si>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</si>
  <si>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</si>
  <si>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</si>
  <si>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</si>
  <si>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</si>
  <si>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</si>
  <si>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</si>
  <si>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</si>
  <si>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</si>
  <si>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</si>
  <si>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</si>
  <si>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</si>
  <si>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</si>
  <si>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</si>
  <si>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</si>
  <si>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</si>
  <si>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</si>
  <si>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</si>
  <si>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</si>
  <si>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</si>
  <si>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</si>
  <si>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</si>
  <si>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</si>
  <si>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</si>
  <si>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</si>
  <si>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</si>
  <si>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</si>
  <si>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</si>
  <si>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</si>
  <si>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</si>
  <si>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</si>
  <si>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</si>
  <si>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</si>
  <si>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</si>
  <si>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</si>
  <si>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</si>
  <si>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</si>
  <si>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</si>
  <si>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</si>
  <si>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</si>
  <si>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</si>
  <si>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</si>
  <si>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</si>
  <si>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</si>
  <si>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</si>
  <si>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</si>
  <si>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</si>
  <si>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</si>
  <si>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</si>
  <si>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</si>
  <si>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</si>
  <si>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</si>
  <si>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</si>
  <si>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</si>
  <si>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</si>
  <si>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</si>
  <si>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</si>
  <si>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</si>
  <si>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</si>
  <si>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</si>
  <si>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</si>
  <si>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</si>
  <si>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</si>
  <si>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</si>
  <si>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</si>
  <si>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</si>
  <si>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</si>
  <si>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</si>
  <si>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</si>
  <si>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</si>
  <si>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</si>
  <si>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</si>
  <si>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</si>
  <si>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</si>
  <si>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</si>
  <si>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</si>
  <si>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</si>
  <si>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</si>
  <si>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</si>
  <si>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</si>
  <si>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</si>
  <si>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</si>
  <si>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</si>
  <si>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</si>
  <si>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</si>
  <si>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</si>
  <si>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</si>
  <si>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</si>
  <si>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</si>
  <si>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</si>
  <si>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</si>
  <si>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</si>
  <si>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</si>
  <si>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</si>
  <si>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</si>
  <si>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</si>
  <si>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</si>
  <si>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</si>
  <si>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</si>
  <si>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</si>
  <si>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</si>
  <si>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</si>
  <si>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</si>
  <si>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</si>
  <si>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</si>
  <si>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</si>
  <si>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</si>
  <si>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</si>
  <si>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</si>
  <si>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</si>
  <si>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</si>
  <si>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</si>
  <si>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</si>
  <si>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</si>
  <si>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</si>
  <si>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</si>
  <si>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</si>
  <si>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</si>
  <si>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</si>
  <si>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</si>
  <si>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</si>
  <si>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</si>
  <si>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</si>
  <si>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</si>
  <si>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</si>
  <si>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</si>
  <si>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</si>
  <si>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</si>
  <si>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</si>
  <si>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</si>
  <si>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</si>
  <si>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</si>
  <si>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</si>
  <si>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</si>
  <si>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</si>
  <si>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</si>
  <si>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</si>
  <si>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</si>
  <si>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</si>
  <si>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</si>
  <si>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</si>
  <si>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</si>
  <si>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</si>
  <si>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</si>
  <si>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</si>
  <si>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</si>
  <si>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</si>
  <si>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</si>
  <si>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</si>
  <si>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</si>
  <si>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</si>
  <si>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</si>
  <si>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</si>
  <si>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</si>
  <si>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</si>
  <si>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</si>
  <si>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</si>
  <si>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</si>
  <si>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</si>
  <si>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</si>
  <si>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</si>
  <si>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</si>
  <si>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</si>
  <si>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</si>
  <si>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</si>
  <si>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</si>
  <si>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</si>
  <si>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</si>
  <si>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</si>
  <si>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</si>
  <si>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</si>
  <si>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</si>
  <si>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</si>
  <si>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</si>
  <si>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</si>
  <si>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</si>
  <si>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</si>
  <si>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</si>
  <si>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</si>
  <si>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</si>
  <si>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</si>
  <si>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</si>
  <si>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</si>
  <si>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</si>
  <si>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</si>
  <si>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</si>
  <si>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</si>
  <si>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</si>
  <si>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</si>
  <si>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</si>
  <si>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</si>
  <si>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</si>
  <si>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</si>
  <si>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</si>
  <si>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</si>
  <si>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</si>
  <si>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</si>
  <si>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</si>
  <si>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</si>
  <si>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</si>
  <si>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</si>
  <si>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</si>
  <si>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</si>
  <si>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</si>
  <si>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</si>
  <si>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</si>
  <si>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</si>
  <si>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</si>
  <si>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</si>
  <si>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</si>
  <si>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</si>
  <si>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</si>
  <si>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</si>
  <si>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</si>
  <si>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</si>
  <si>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</si>
  <si>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</si>
  <si>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</si>
  <si>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</si>
  <si>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</si>
  <si>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</si>
  <si>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</si>
  <si>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</si>
  <si>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</si>
  <si>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</si>
  <si>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</si>
  <si>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</si>
  <si>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</si>
  <si>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</si>
  <si>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</si>
  <si>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</si>
  <si>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</si>
  <si>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</si>
  <si>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</si>
  <si>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</si>
  <si>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</si>
  <si>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</si>
  <si>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</si>
  <si>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</si>
  <si>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</si>
  <si>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</si>
  <si>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</si>
  <si>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</si>
  <si>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</si>
  <si>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</si>
  <si>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</si>
  <si>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</si>
  <si>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</si>
  <si>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</si>
  <si>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</si>
  <si>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</si>
  <si>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</si>
  <si>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</si>
  <si>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</si>
  <si>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</si>
  <si>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</si>
  <si>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</si>
  <si>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</si>
  <si>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</si>
  <si>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</si>
  <si>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</si>
  <si>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</si>
  <si>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</si>
  <si>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</si>
  <si>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</si>
  <si>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</si>
  <si>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</si>
  <si>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</si>
  <si>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</si>
  <si>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</si>
  <si>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</si>
  <si>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</si>
  <si>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</si>
  <si>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</si>
  <si>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</si>
  <si>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</si>
  <si>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</si>
  <si>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</si>
  <si>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</si>
  <si>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</si>
  <si>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</si>
  <si>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</si>
  <si>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</si>
  <si>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</si>
  <si>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</si>
  <si>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</si>
  <si>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</si>
  <si>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</si>
  <si>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</si>
  <si>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</si>
  <si>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</si>
  <si>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</si>
  <si>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</si>
  <si>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</si>
  <si>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</si>
  <si>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</si>
  <si>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</si>
  <si>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</si>
  <si>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</si>
  <si>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</si>
  <si>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</si>
  <si>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</si>
  <si>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</si>
  <si>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</si>
  <si>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</si>
  <si>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</si>
  <si>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</si>
  <si>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</si>
  <si>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</si>
  <si>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</si>
  <si>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</si>
  <si>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</si>
  <si>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</si>
  <si>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</si>
  <si>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</si>
  <si>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</si>
  <si>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</si>
  <si>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</si>
  <si>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</si>
  <si>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</si>
  <si>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</si>
  <si>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</si>
  <si>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</si>
  <si>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</si>
  <si>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</si>
  <si>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</si>
  <si>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</si>
  <si>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</si>
  <si>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</si>
  <si>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</si>
  <si>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</si>
  <si>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</si>
  <si>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</si>
  <si>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</si>
  <si>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</si>
  <si>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</si>
  <si>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</si>
  <si>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</si>
  <si>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</si>
  <si>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</si>
  <si>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</si>
  <si>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</si>
  <si>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</si>
  <si>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</si>
  <si>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</si>
  <si>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</si>
  <si>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</si>
  <si>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</si>
  <si>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</si>
  <si>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</si>
  <si>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</si>
  <si>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</si>
  <si>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</si>
  <si>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</si>
  <si>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</si>
  <si>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</si>
  <si>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</si>
  <si>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</si>
  <si>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</si>
  <si>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</si>
  <si>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</si>
  <si>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</si>
  <si>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</si>
  <si>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</si>
  <si>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</si>
  <si>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</si>
  <si>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</si>
  <si>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</si>
  <si>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</si>
  <si>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</si>
  <si>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</si>
  <si>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</si>
  <si>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</si>
  <si>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</si>
  <si>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</si>
  <si>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</si>
  <si>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</si>
  <si>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</si>
  <si>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</si>
  <si>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</si>
  <si>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</si>
  <si>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</si>
  <si>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</si>
  <si>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</si>
  <si>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</si>
  <si>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</si>
  <si>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</si>
  <si>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</si>
  <si>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</si>
  <si>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</si>
  <si>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</si>
  <si>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</si>
  <si>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</si>
  <si>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</si>
  <si>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</si>
  <si>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</si>
  <si>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</si>
  <si>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</si>
  <si>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</si>
  <si>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</si>
  <si>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</si>
  <si>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</si>
  <si>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</si>
  <si>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</si>
  <si>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</si>
  <si>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</si>
  <si>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</si>
  <si>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</si>
  <si>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</si>
  <si>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</si>
  <si>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</si>
  <si>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</si>
  <si>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</si>
  <si>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</si>
  <si>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</si>
  <si>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</si>
  <si>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</si>
  <si>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</si>
  <si>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</si>
  <si>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</si>
  <si>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</si>
  <si>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</si>
  <si>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</si>
  <si>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</si>
  <si>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</si>
  <si>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</si>
  <si>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</si>
  <si>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</si>
  <si>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</si>
  <si>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</si>
  <si>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</si>
  <si>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</si>
  <si>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</si>
  <si>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</si>
  <si>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</si>
  <si>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</si>
  <si>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</si>
  <si>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</si>
  <si>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</si>
  <si>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</si>
  <si>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</si>
  <si>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</si>
  <si>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</si>
  <si>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</si>
  <si>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</si>
  <si>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</si>
  <si>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</si>
  <si>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</si>
  <si>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</si>
  <si>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</si>
  <si>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</si>
  <si>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</si>
  <si>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</si>
  <si>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</si>
  <si>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</si>
  <si>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</si>
  <si>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</si>
  <si>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</si>
  <si>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</si>
  <si>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</si>
  <si>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</si>
  <si>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</si>
  <si>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</si>
  <si>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</si>
  <si>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</si>
  <si>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</si>
  <si>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</si>
  <si>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</si>
  <si>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</si>
  <si>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</si>
  <si>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</si>
  <si>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</si>
  <si>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</si>
  <si>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</si>
  <si>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</si>
  <si>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</si>
  <si>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</si>
  <si>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</si>
  <si>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</si>
  <si>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</si>
  <si>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</si>
  <si>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</si>
  <si>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</si>
  <si>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</si>
  <si>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</si>
  <si>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</si>
  <si>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</si>
  <si>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</si>
  <si>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</si>
  <si>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</si>
  <si>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</si>
  <si>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</si>
  <si>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</si>
  <si>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</si>
  <si>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</si>
  <si>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</si>
  <si>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</si>
  <si>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</si>
  <si>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</si>
  <si>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</si>
  <si>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</si>
  <si>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</si>
  <si>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</si>
  <si>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</si>
  <si>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</si>
  <si>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</si>
  <si>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</si>
  <si>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</si>
  <si>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</si>
  <si>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</si>
  <si>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</si>
  <si>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</si>
  <si>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</si>
  <si>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</si>
  <si>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</si>
  <si>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</si>
  <si>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</si>
  <si>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</si>
  <si>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</si>
  <si>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</si>
  <si>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</si>
  <si>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</si>
  <si>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</si>
  <si>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</si>
  <si>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</si>
  <si>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</si>
  <si>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</si>
  <si>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</si>
  <si>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</si>
  <si>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</si>
  <si>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</si>
  <si>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</si>
  <si>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</si>
  <si>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</si>
  <si>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</si>
  <si>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</si>
  <si>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</si>
  <si>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</si>
  <si>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</si>
  <si>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</si>
  <si>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</si>
  <si>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</si>
  <si>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</si>
  <si>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</si>
  <si>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</si>
  <si>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</si>
  <si>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</si>
  <si>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</si>
  <si>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</si>
  <si>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</si>
  <si>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</si>
  <si>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</si>
  <si>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</si>
  <si>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</si>
  <si>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</si>
  <si>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</si>
  <si>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</si>
  <si>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</si>
  <si>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</si>
  <si>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</si>
  <si>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</si>
  <si>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</si>
  <si>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</si>
  <si>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</si>
  <si>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</si>
  <si>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</si>
  <si>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</si>
  <si>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</si>
  <si>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</si>
  <si>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</si>
  <si>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</si>
  <si>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</si>
  <si>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</si>
  <si>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</si>
  <si>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</si>
  <si>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</si>
  <si>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</si>
  <si>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</si>
  <si>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</si>
  <si>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</si>
  <si>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</si>
  <si>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</si>
  <si>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</si>
  <si>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</si>
  <si>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</si>
  <si>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</si>
  <si>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</si>
  <si>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</si>
  <si>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</si>
  <si>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</si>
  <si>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</si>
  <si>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</si>
  <si>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</si>
  <si>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</si>
  <si>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</si>
  <si>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</si>
  <si>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</si>
  <si>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</si>
  <si>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</si>
  <si>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</si>
  <si>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</si>
  <si>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</si>
  <si>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</si>
  <si>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</si>
  <si>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</si>
  <si>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</si>
  <si>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</si>
  <si>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</si>
  <si>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</si>
  <si>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</si>
  <si>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</si>
  <si>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</si>
  <si>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</si>
  <si>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</si>
  <si>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</si>
  <si>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</si>
  <si>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</si>
  <si>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</si>
  <si>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</si>
  <si>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</si>
  <si>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</si>
  <si>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</si>
  <si>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</si>
  <si>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</si>
  <si>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</si>
  <si>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</si>
  <si>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</si>
  <si>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</si>
  <si>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</si>
  <si>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</si>
  <si>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</si>
  <si>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</si>
  <si>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</si>
  <si>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</si>
  <si>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</si>
  <si>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</si>
  <si>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</si>
  <si>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</si>
  <si>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</si>
  <si>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</si>
  <si>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</si>
  <si>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</si>
  <si>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</si>
  <si>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</si>
  <si>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</si>
  <si>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</si>
  <si>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</si>
  <si>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</si>
  <si>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</si>
  <si>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</si>
  <si>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</si>
  <si>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</si>
  <si>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</si>
  <si>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</si>
  <si>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</si>
  <si>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</si>
  <si>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</si>
  <si>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</si>
  <si>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</si>
  <si>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</si>
  <si>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</si>
  <si>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</si>
  <si>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</si>
  <si>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</si>
  <si>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</si>
  <si>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</si>
  <si>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</si>
  <si>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</si>
  <si>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</si>
  <si>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</si>
  <si>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</si>
  <si>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</si>
  <si>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</si>
  <si>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</si>
  <si>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</si>
  <si>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</si>
  <si>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</si>
  <si>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</si>
  <si>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</si>
  <si>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</si>
  <si>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</si>
  <si>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</si>
  <si>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</si>
  <si>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</si>
  <si>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</si>
  <si>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</si>
  <si>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</si>
  <si>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</si>
  <si>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</si>
  <si>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</si>
  <si>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</si>
  <si>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</si>
  <si>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</si>
  <si>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</si>
  <si>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</si>
  <si>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</si>
  <si>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</si>
  <si>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</si>
  <si>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</si>
  <si>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</si>
  <si>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</si>
  <si>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</si>
  <si>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</si>
  <si>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</si>
  <si>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</si>
  <si>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</si>
  <si>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</si>
  <si>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</si>
  <si>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</si>
  <si>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</si>
  <si>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</si>
  <si>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</si>
  <si>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</si>
  <si>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</si>
  <si>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</si>
  <si>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</si>
  <si>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</si>
  <si>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</si>
  <si>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</si>
  <si>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</si>
  <si>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</si>
  <si>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</si>
  <si>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</si>
  <si>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</si>
  <si>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</si>
  <si>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</si>
  <si>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</si>
  <si>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</si>
  <si>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</si>
  <si>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</si>
  <si>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</si>
  <si>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</si>
  <si>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</si>
  <si>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</si>
  <si>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</si>
  <si>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</si>
  <si>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</si>
  <si>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</si>
  <si>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</si>
  <si>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</si>
  <si>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</si>
  <si>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</si>
  <si>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</si>
  <si>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</si>
  <si>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</si>
  <si>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</si>
  <si>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</si>
  <si>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</si>
  <si>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</si>
  <si>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</si>
  <si>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</si>
  <si>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</si>
  <si>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</si>
  <si>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</si>
  <si>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</si>
  <si>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</si>
  <si>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</si>
  <si>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</si>
  <si>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</si>
  <si>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</si>
  <si>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</si>
  <si>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</si>
  <si>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</si>
  <si>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</si>
  <si>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</si>
  <si>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</si>
  <si>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</si>
  <si>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</si>
  <si>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</si>
  <si>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</si>
  <si>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</si>
  <si>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</si>
  <si>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</si>
  <si>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</si>
  <si>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</si>
  <si>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</si>
  <si>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</si>
  <si>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</si>
  <si>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</si>
  <si>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</si>
  <si>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</si>
  <si>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</si>
  <si>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</si>
  <si>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</si>
  <si>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</si>
  <si>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</si>
  <si>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</si>
  <si>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</si>
  <si>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</si>
  <si>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</si>
  <si>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</si>
  <si>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</si>
  <si>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</si>
  <si>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</si>
  <si>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</si>
  <si>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</si>
  <si>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</si>
  <si>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</si>
  <si>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</si>
  <si>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</si>
  <si>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</si>
  <si>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</si>
  <si>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</si>
  <si>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</si>
  <si>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</si>
  <si>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</si>
  <si>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</si>
  <si>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</si>
  <si>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</si>
  <si>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</si>
  <si>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</si>
  <si>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</si>
  <si>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</si>
  <si>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</si>
  <si>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</si>
  <si>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</si>
  <si>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</si>
  <si>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</si>
  <si>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</si>
  <si>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</si>
  <si>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</si>
  <si>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</si>
  <si>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</si>
  <si>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</si>
  <si>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</si>
  <si>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</si>
  <si>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</si>
  <si>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</si>
  <si>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</si>
  <si>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</si>
  <si>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</si>
  <si>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</si>
  <si>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</si>
  <si>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</si>
  <si>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</si>
  <si>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</si>
  <si>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</si>
  <si>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</si>
  <si>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</si>
  <si>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</si>
  <si>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</si>
  <si>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</si>
  <si>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</si>
  <si>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</si>
  <si>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</si>
  <si>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</si>
  <si>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</si>
  <si>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</si>
  <si>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</si>
  <si>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</si>
  <si>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</si>
  <si>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</si>
  <si>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</si>
  <si>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</si>
  <si>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</si>
  <si>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</si>
  <si>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</si>
  <si>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</si>
  <si>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</si>
  <si>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</si>
  <si>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</si>
  <si>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</si>
  <si>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</si>
  <si>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</si>
  <si>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</si>
  <si>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</si>
  <si>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</si>
  <si>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</si>
  <si>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</si>
  <si>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</si>
  <si>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</si>
  <si>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</si>
  <si>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</si>
  <si>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</si>
  <si>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</si>
  <si>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</si>
  <si>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</si>
  <si>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</si>
  <si>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</si>
  <si>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</si>
  <si>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</si>
  <si>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</si>
  <si>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</si>
  <si>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</si>
  <si>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</si>
  <si>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</si>
  <si>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</si>
  <si>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</si>
  <si>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</si>
  <si>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</si>
  <si>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</si>
  <si>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</si>
  <si>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</si>
  <si>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</si>
  <si>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</si>
  <si>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</si>
  <si>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</si>
  <si>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</si>
  <si>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</si>
  <si>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</si>
  <si>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</si>
  <si>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</si>
  <si>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</si>
  <si>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</si>
  <si>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</si>
  <si>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</si>
  <si>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</si>
  <si>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</si>
  <si>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</si>
  <si>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</si>
  <si>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</si>
  <si>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</si>
  <si>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</si>
  <si>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</si>
  <si>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</si>
  <si>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</si>
  <si>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</si>
  <si>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</si>
  <si>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</si>
  <si>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</si>
  <si>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</si>
  <si>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</si>
  <si>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</si>
  <si>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</si>
  <si>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</si>
  <si>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</si>
  <si>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</si>
  <si>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</si>
  <si>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</si>
  <si>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</si>
  <si>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</si>
  <si>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</si>
  <si>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</si>
  <si>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</si>
  <si>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</si>
  <si>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</si>
  <si>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</si>
  <si>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</si>
  <si>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</si>
  <si>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</si>
  <si>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</si>
  <si>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</si>
  <si>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</si>
  <si>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</si>
  <si>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</si>
  <si>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</si>
  <si>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</si>
  <si>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</si>
  <si>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</si>
  <si>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</si>
  <si>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</si>
  <si>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</si>
  <si>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</si>
  <si>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</si>
  <si>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</si>
  <si>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</si>
  <si>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</si>
  <si>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</si>
  <si>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</si>
  <si>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</si>
  <si>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</si>
  <si>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</si>
  <si>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</si>
  <si>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</si>
  <si>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</si>
  <si>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</si>
  <si>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</si>
  <si>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</si>
  <si>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</si>
  <si>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</si>
  <si>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</si>
  <si>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</si>
  <si>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</si>
  <si>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</si>
  <si>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</si>
  <si>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</si>
  <si>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</si>
  <si>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</si>
  <si>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</si>
  <si>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</si>
  <si>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</si>
  <si>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</si>
  <si>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</si>
  <si>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</si>
  <si>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</si>
  <si>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</si>
  <si>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</si>
  <si>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</si>
  <si>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</si>
  <si>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</si>
  <si>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</si>
  <si>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</si>
  <si>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</si>
  <si>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</si>
  <si>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</si>
  <si>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</si>
  <si>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</si>
  <si>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</si>
  <si>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</si>
  <si>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</si>
  <si>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</si>
  <si>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</si>
  <si>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</si>
  <si>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</si>
  <si>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</si>
  <si>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</si>
  <si>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</si>
  <si>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</si>
  <si>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</si>
  <si>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</si>
  <si>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</si>
  <si>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</si>
  <si>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</si>
  <si>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</si>
  <si>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</si>
  <si>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</si>
  <si>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</si>
  <si>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</si>
  <si>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</si>
  <si>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</si>
  <si>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</si>
  <si>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</si>
  <si>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</si>
  <si>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</si>
  <si>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</si>
  <si>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</si>
  <si>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</si>
  <si>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</si>
  <si>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</si>
  <si>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</si>
  <si>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</si>
  <si>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</si>
  <si>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</si>
  <si>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</si>
  <si>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</si>
  <si>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</si>
  <si>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</si>
  <si>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</si>
  <si>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</si>
  <si>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</si>
  <si>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</si>
  <si>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</si>
  <si>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</si>
  <si>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</si>
  <si>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</si>
  <si>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</si>
  <si>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</si>
  <si>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</si>
  <si>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</si>
  <si>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</si>
  <si>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</si>
  <si>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</si>
  <si>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</si>
  <si>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</si>
  <si>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</si>
  <si>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</si>
  <si>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</si>
  <si>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</si>
  <si>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</si>
  <si>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</si>
  <si>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</si>
  <si>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</si>
  <si>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</si>
  <si>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</si>
  <si>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</si>
  <si>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</si>
  <si>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</si>
  <si>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</si>
  <si>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</si>
  <si>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</si>
  <si>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</si>
  <si>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</si>
  <si>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</si>
  <si>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</si>
  <si>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</si>
  <si>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</si>
  <si>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</si>
  <si>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</si>
  <si>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</si>
  <si>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</si>
  <si>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</si>
  <si>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</si>
  <si>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</si>
  <si>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</si>
  <si>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</si>
  <si>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</si>
  <si>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</si>
  <si>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</si>
  <si>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</si>
  <si>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</si>
  <si>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</si>
  <si>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</si>
  <si>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</si>
  <si>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</si>
  <si>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</si>
  <si>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</si>
  <si>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</si>
  <si>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</si>
  <si>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</si>
  <si>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</si>
  <si>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</si>
  <si>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</si>
  <si>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</si>
  <si>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</si>
  <si>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</si>
  <si>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</si>
  <si>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</si>
  <si>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</si>
  <si>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</si>
  <si>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</si>
  <si>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</si>
  <si>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</si>
  <si>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</si>
  <si>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</si>
  <si>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</si>
  <si>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</si>
  <si>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</si>
  <si>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</si>
  <si>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</si>
  <si>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</si>
  <si>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</si>
  <si>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</si>
  <si>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</si>
  <si>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</si>
  <si>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</si>
  <si>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</si>
  <si>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</si>
  <si>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</si>
  <si>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</si>
  <si>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</si>
  <si>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</si>
  <si>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</si>
  <si>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</si>
  <si>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</si>
  <si>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</si>
  <si>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</si>
  <si>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</si>
  <si>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</si>
  <si>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</si>
  <si>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</si>
  <si>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</si>
  <si>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</si>
  <si>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</si>
  <si>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</si>
  <si>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</si>
  <si>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</si>
  <si>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</si>
  <si>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</si>
  <si>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</si>
  <si>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</si>
  <si>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</si>
  <si>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</si>
  <si>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</si>
  <si>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</si>
  <si>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</si>
  <si>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</si>
  <si>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</si>
  <si>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</si>
  <si>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</si>
  <si>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</si>
  <si>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</si>
  <si>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</si>
  <si>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</si>
  <si>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</si>
  <si>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</si>
  <si>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</si>
  <si>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</si>
  <si>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</si>
  <si>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</si>
  <si>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</si>
  <si>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</si>
  <si>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</si>
  <si>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</si>
  <si>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</si>
  <si>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</si>
  <si>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</si>
  <si>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</si>
  <si>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</si>
  <si>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</si>
  <si>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</si>
  <si>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</si>
  <si>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</si>
  <si>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</si>
  <si>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</si>
  <si>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</si>
  <si>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</si>
  <si>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</si>
  <si>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</si>
  <si>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</si>
  <si>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</si>
  <si>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</si>
  <si>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</si>
  <si>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</si>
  <si>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</si>
  <si>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</si>
  <si>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</si>
  <si>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</si>
  <si>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</si>
  <si>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</si>
  <si>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</si>
  <si>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</si>
  <si>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</si>
  <si>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</si>
  <si>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</si>
  <si>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</si>
  <si>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</si>
  <si>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</si>
  <si>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</si>
  <si>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</si>
  <si>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</si>
  <si>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</si>
  <si>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</si>
  <si>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</si>
  <si>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</si>
  <si>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</si>
  <si>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</si>
  <si>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</si>
  <si>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</si>
  <si>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</si>
  <si>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</si>
  <si>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</si>
  <si>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</si>
  <si>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</si>
  <si>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</si>
  <si>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</si>
  <si>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</si>
  <si>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</si>
  <si>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</si>
  <si>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</si>
  <si>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</si>
  <si>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</si>
  <si>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</si>
  <si>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</si>
  <si>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</si>
  <si>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</si>
  <si>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</si>
  <si>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</si>
  <si>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</si>
  <si>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</si>
  <si>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</si>
  <si>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</si>
  <si>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</si>
  <si>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</si>
  <si>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</si>
  <si>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</si>
  <si>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</si>
  <si>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</si>
  <si>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</si>
  <si>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</si>
  <si>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</si>
  <si>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</si>
  <si>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</si>
  <si>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</si>
  <si>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</si>
  <si>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</si>
  <si>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</si>
  <si>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</si>
  <si>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</si>
  <si>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</si>
  <si>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</si>
  <si>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</si>
  <si>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</si>
  <si>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</si>
  <si>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</si>
  <si>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</si>
  <si>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</si>
  <si>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</si>
  <si>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</si>
  <si>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</si>
  <si>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</si>
  <si>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</si>
  <si>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</si>
  <si>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</si>
  <si>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</si>
  <si>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</si>
  <si>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</si>
  <si>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</si>
  <si>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</si>
  <si>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</si>
  <si>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</si>
  <si>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</si>
  <si>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</si>
  <si>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</si>
  <si>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</si>
  <si>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</si>
  <si>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</si>
  <si>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</si>
  <si>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</si>
  <si>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</si>
  <si>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</si>
  <si>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</si>
  <si>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</si>
  <si>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</si>
  <si>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</si>
  <si>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</si>
  <si>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</si>
  <si>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</si>
  <si>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</si>
  <si>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</si>
  <si>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</si>
  <si>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</si>
  <si>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</si>
  <si>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</si>
  <si>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</si>
  <si>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</si>
  <si>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</si>
  <si>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</si>
  <si>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</si>
  <si>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</si>
  <si>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</si>
  <si>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</si>
  <si>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</si>
  <si>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</si>
  <si>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</si>
  <si>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</si>
  <si>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</si>
  <si>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</si>
  <si>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</si>
  <si>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</si>
  <si>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</si>
  <si>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</si>
  <si>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</si>
  <si>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</si>
  <si>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</si>
  <si>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</si>
  <si>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</si>
  <si>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</si>
  <si>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</si>
  <si>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</si>
  <si>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</si>
  <si>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</si>
  <si>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</si>
  <si>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</si>
  <si>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</si>
  <si>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</si>
  <si>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</si>
  <si>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</si>
  <si>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</si>
  <si>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</si>
  <si>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</si>
  <si>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</si>
  <si>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</si>
  <si>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</si>
  <si>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</si>
  <si>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</si>
  <si>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</si>
  <si>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</si>
  <si>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</si>
  <si>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</si>
  <si>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</si>
  <si>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</si>
  <si>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</si>
  <si>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</si>
  <si>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</si>
  <si>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</si>
  <si>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</si>
  <si>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</si>
  <si>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</si>
  <si>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</si>
  <si>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</si>
  <si>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</si>
  <si>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</si>
  <si>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</si>
  <si>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</si>
  <si>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</si>
  <si>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</si>
  <si>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</si>
  <si>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</si>
  <si>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</si>
  <si>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</si>
  <si>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</si>
  <si>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</si>
  <si>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</si>
  <si>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</si>
  <si>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</si>
  <si>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</si>
  <si>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</si>
  <si>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</si>
  <si>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</si>
  <si>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</si>
  <si>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</si>
  <si>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</si>
  <si>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</si>
  <si>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</si>
  <si>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</si>
  <si>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</si>
  <si>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</si>
  <si>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</si>
  <si>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</si>
  <si>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</si>
  <si>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</si>
  <si>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</si>
  <si>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</si>
  <si>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</si>
  <si>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</si>
  <si>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</si>
  <si>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</si>
  <si>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</si>
  <si>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</si>
  <si>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</si>
  <si>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</si>
  <si>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</si>
  <si>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</si>
  <si>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</si>
  <si>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</si>
  <si>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</si>
  <si>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</si>
  <si>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</si>
  <si>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</si>
  <si>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</si>
  <si>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</si>
  <si>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</si>
  <si>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</si>
  <si>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</si>
  <si>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</si>
  <si>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</si>
  <si>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</si>
  <si>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</si>
  <si>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</si>
  <si>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</si>
  <si>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</si>
  <si>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</si>
  <si>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</si>
  <si>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</si>
  <si>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</si>
  <si>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</si>
  <si>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</si>
  <si>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</si>
  <si>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</si>
  <si>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</si>
  <si>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</si>
  <si>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</si>
  <si>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</si>
  <si>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</si>
  <si>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</si>
  <si>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</si>
  <si>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</si>
  <si>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</si>
  <si>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</si>
  <si>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</si>
  <si>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</si>
  <si>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</si>
  <si>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</si>
  <si>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</si>
  <si>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</si>
  <si>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</si>
  <si>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</si>
  <si>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</si>
  <si>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</si>
  <si>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</si>
  <si>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</si>
  <si>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</si>
  <si>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</si>
  <si>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</si>
  <si>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</si>
  <si>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</si>
  <si>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</si>
  <si>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</si>
  <si>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</si>
  <si>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</si>
  <si>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</si>
  <si>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</si>
  <si>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</si>
  <si>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</si>
  <si>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</si>
  <si>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</si>
  <si>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</si>
  <si>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</si>
  <si>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</si>
  <si>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</si>
  <si>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</si>
  <si>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</si>
  <si>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</si>
  <si>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</si>
  <si>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</si>
  <si>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</si>
  <si>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</si>
  <si>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</si>
  <si>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</si>
  <si>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</si>
  <si>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</si>
  <si>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</si>
  <si>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</si>
  <si>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</si>
  <si>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</si>
  <si>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</si>
  <si>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</si>
  <si>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</si>
  <si>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</si>
  <si>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</si>
  <si>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</si>
  <si>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</si>
  <si>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</si>
  <si>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</si>
  <si>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</si>
  <si>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</si>
  <si>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</si>
  <si>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</si>
  <si>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</si>
  <si>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</si>
  <si>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</si>
  <si>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</si>
  <si>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</si>
  <si>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</si>
  <si>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</si>
  <si>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</si>
  <si>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</si>
  <si>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</si>
  <si>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</si>
  <si>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</si>
  <si>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</si>
  <si>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</si>
  <si>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</si>
  <si>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</si>
  <si>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</si>
  <si>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</si>
  <si>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</si>
  <si>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</si>
  <si>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</si>
  <si>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</si>
  <si>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</si>
  <si>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</si>
  <si>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</si>
  <si>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</si>
  <si>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</si>
  <si>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</si>
  <si>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</si>
  <si>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</si>
  <si>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</si>
  <si>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</si>
  <si>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</si>
  <si>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</si>
  <si>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</si>
  <si>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</si>
  <si>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</si>
  <si>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</si>
  <si>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</si>
  <si>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</si>
  <si>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</si>
  <si>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</si>
  <si>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</si>
  <si>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</si>
  <si>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</si>
  <si>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</si>
  <si>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</si>
  <si>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</si>
  <si>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</si>
  <si>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</si>
  <si>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</si>
  <si>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</si>
  <si>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</si>
  <si>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</si>
  <si>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</si>
  <si>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</si>
  <si>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</si>
  <si>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</si>
  <si>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</si>
  <si>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</si>
  <si>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</si>
  <si>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</si>
  <si>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</si>
  <si>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</si>
  <si>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</si>
  <si>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</si>
  <si>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</si>
  <si>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</si>
  <si>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</si>
  <si>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</si>
  <si>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</si>
  <si>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</si>
  <si>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</si>
  <si>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</si>
  <si>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</si>
  <si>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</si>
  <si>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</si>
  <si>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</si>
  <si>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</si>
  <si>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</si>
  <si>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</si>
  <si>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</si>
  <si>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</si>
  <si>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</si>
  <si>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</si>
  <si>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</si>
  <si>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</si>
  <si>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</si>
  <si>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</si>
  <si>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</si>
  <si>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</si>
  <si>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</si>
  <si>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</si>
  <si>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</si>
  <si>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</si>
  <si>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</si>
  <si>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</si>
  <si>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</si>
  <si>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</si>
  <si>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</si>
  <si>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</si>
  <si>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</si>
  <si>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</si>
  <si>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</si>
  <si>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</si>
  <si>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</si>
  <si>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</si>
  <si>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</si>
  <si>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</si>
  <si>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</si>
  <si>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</si>
  <si>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</si>
  <si>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</si>
  <si>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</si>
  <si>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</si>
  <si>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</si>
  <si>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</si>
  <si>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</si>
  <si>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</si>
  <si>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</si>
  <si>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</si>
  <si>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</si>
  <si>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</si>
  <si>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</si>
  <si>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</si>
  <si>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</si>
  <si>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</si>
  <si>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</si>
  <si>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</si>
  <si>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</si>
  <si>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</si>
  <si>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</si>
  <si>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</si>
  <si>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</si>
  <si>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</si>
  <si>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</si>
  <si>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</si>
  <si>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</si>
  <si>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</si>
  <si>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</si>
  <si>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</si>
  <si>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</si>
  <si>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</si>
  <si>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</si>
  <si>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</si>
  <si>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</si>
  <si>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</si>
  <si>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</si>
  <si>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</si>
  <si>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</si>
  <si>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</si>
  <si>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</si>
  <si>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</si>
  <si>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</si>
  <si>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</si>
  <si>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</si>
  <si>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</si>
  <si>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</si>
  <si>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</si>
  <si>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</si>
  <si>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</si>
  <si>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</si>
  <si>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</si>
  <si>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</si>
  <si>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</si>
  <si>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</si>
  <si>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</si>
  <si>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</si>
  <si>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</si>
  <si>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</si>
  <si>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</si>
  <si>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</si>
  <si>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</si>
  <si>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</si>
  <si>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</si>
  <si>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</si>
  <si>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</si>
  <si>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</si>
  <si>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</si>
  <si>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</si>
  <si>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</si>
  <si>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</si>
  <si>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</si>
  <si>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</si>
  <si>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</si>
  <si>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</si>
  <si>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</si>
  <si>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</si>
  <si>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</si>
  <si>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</si>
  <si>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</si>
  <si>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</si>
  <si>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</si>
  <si>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</si>
  <si>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</si>
  <si>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</si>
  <si>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</si>
  <si>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</si>
  <si>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</si>
  <si>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</si>
  <si>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</si>
  <si>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</si>
  <si>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</si>
  <si>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</si>
  <si>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</si>
  <si>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</si>
  <si>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</si>
  <si>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</si>
  <si>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</si>
  <si>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</si>
  <si>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</si>
  <si>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</si>
  <si>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</si>
  <si>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</si>
  <si>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</si>
  <si>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</si>
  <si>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</si>
  <si>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</si>
  <si>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</si>
  <si>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</si>
  <si>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</si>
  <si>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</si>
  <si>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</si>
  <si>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</si>
  <si>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</si>
  <si>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</si>
  <si>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</si>
  <si>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</si>
  <si>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</si>
  <si>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</si>
  <si>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</si>
  <si>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</si>
  <si>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</si>
  <si>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</si>
  <si>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</si>
  <si>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</si>
  <si>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</si>
  <si>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</si>
  <si>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</si>
  <si>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</si>
  <si>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</si>
  <si>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</si>
  <si>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</si>
  <si>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</si>
  <si>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</si>
  <si>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</si>
  <si>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</si>
  <si>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</si>
  <si>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</si>
  <si>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</si>
  <si>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</si>
  <si>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</si>
  <si>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</si>
  <si>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</si>
  <si>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</si>
  <si>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</si>
  <si>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</si>
  <si>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</si>
  <si>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</si>
  <si>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</si>
  <si>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</si>
  <si>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</si>
  <si>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</si>
  <si>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</si>
  <si>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</si>
  <si>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</si>
  <si>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</si>
  <si>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</si>
  <si>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</si>
  <si>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</si>
  <si>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</si>
  <si>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</si>
  <si>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</si>
  <si>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</si>
  <si>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</si>
  <si>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</si>
  <si>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</si>
  <si>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</si>
  <si>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</si>
  <si>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</si>
  <si>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</si>
  <si>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</si>
  <si>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</si>
  <si>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</si>
  <si>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</si>
  <si>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</si>
  <si>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</si>
  <si>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</si>
  <si>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</si>
  <si>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</si>
  <si>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</si>
  <si>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</si>
  <si>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</si>
  <si>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</si>
  <si>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</si>
  <si>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</si>
  <si>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</si>
  <si>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</si>
  <si>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</si>
  <si>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</si>
  <si>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</si>
  <si>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</si>
  <si>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</si>
  <si>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</si>
  <si>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</si>
  <si>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</si>
  <si>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</si>
  <si>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</si>
  <si>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</si>
  <si>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</si>
  <si>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</si>
  <si>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</si>
  <si>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</si>
  <si>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</si>
  <si>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</si>
  <si>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</si>
  <si>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</si>
  <si>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</si>
  <si>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</si>
  <si>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</si>
  <si>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</si>
  <si>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</si>
  <si>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</si>
  <si>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</si>
  <si>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</si>
  <si>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</si>
  <si>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</si>
  <si>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</si>
  <si>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</si>
  <si>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</si>
  <si>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</si>
  <si>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</si>
  <si>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</si>
  <si>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</si>
  <si>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</si>
  <si>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</si>
  <si>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</si>
  <si>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</si>
  <si>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</si>
  <si>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</si>
  <si>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</si>
  <si>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</si>
  <si>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</si>
  <si>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</si>
  <si>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</si>
  <si>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</si>
  <si>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</si>
  <si>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</si>
  <si>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</si>
  <si>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</si>
  <si>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</si>
  <si>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</si>
  <si>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</si>
  <si>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</si>
  <si>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</si>
  <si>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</si>
  <si>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</si>
  <si>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</si>
  <si>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</si>
  <si>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</si>
  <si>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</si>
  <si>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</si>
  <si>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</si>
  <si>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</si>
  <si>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</si>
  <si>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</si>
  <si>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</si>
  <si>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</si>
  <si>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</si>
  <si>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</si>
  <si>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</si>
  <si>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</si>
  <si>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</si>
  <si>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</si>
  <si>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</si>
  <si>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</si>
  <si>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</si>
  <si>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</si>
  <si>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</si>
  <si>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</si>
  <si>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</si>
  <si>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</si>
  <si>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</si>
  <si>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</si>
  <si>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</si>
  <si>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</si>
  <si>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</si>
  <si>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</si>
  <si>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</si>
  <si>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</si>
  <si>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</si>
  <si>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</si>
  <si>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</si>
  <si>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</si>
  <si>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</si>
  <si>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</si>
  <si>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</si>
  <si>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</si>
  <si>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</si>
  <si>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</si>
  <si>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</si>
  <si>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</si>
  <si>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</si>
  <si>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</si>
  <si>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</si>
  <si>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</si>
  <si>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</si>
  <si>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</si>
  <si>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</si>
  <si>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</si>
  <si>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</si>
  <si>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</si>
  <si>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</si>
  <si>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</si>
  <si>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</si>
  <si>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</si>
  <si>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</si>
  <si>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</si>
  <si>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</si>
  <si>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</si>
  <si>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</si>
  <si>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</si>
  <si>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</si>
  <si>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</si>
  <si>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</si>
  <si>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</si>
  <si>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</si>
  <si>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</si>
  <si>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</si>
  <si>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</si>
  <si>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</si>
  <si>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</si>
  <si>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</si>
  <si>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</si>
  <si>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</si>
  <si>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</si>
  <si>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</si>
  <si>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</si>
  <si>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</si>
  <si>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</si>
  <si>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</si>
  <si>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</si>
  <si>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</si>
  <si>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</si>
  <si>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</si>
  <si>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</si>
  <si>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</si>
  <si>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</si>
  <si>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</si>
  <si>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</si>
  <si>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</si>
  <si>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</si>
  <si>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</si>
  <si>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</si>
  <si>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</si>
  <si>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</si>
  <si>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</si>
  <si>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</si>
  <si>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</si>
  <si>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</si>
  <si>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</si>
  <si>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</si>
  <si>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</si>
  <si>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</si>
  <si>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</si>
  <si>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</si>
  <si>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</si>
  <si>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</si>
  <si>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</si>
  <si>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</si>
  <si>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</si>
  <si>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</si>
  <si>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</si>
  <si>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</si>
  <si>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</si>
  <si>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</si>
  <si>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</si>
  <si>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</si>
  <si>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</si>
  <si>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</si>
  <si>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</si>
  <si>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</si>
  <si>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</si>
  <si>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</si>
  <si>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</si>
  <si>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</si>
  <si>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</si>
  <si>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</si>
  <si>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</si>
  <si>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</si>
  <si>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</si>
  <si>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</si>
  <si>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</si>
  <si>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</si>
  <si>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</si>
  <si>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</si>
  <si>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</si>
  <si>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</si>
  <si>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</si>
  <si>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</si>
  <si>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</si>
  <si>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</si>
  <si>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</si>
  <si>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</si>
  <si>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</si>
  <si>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</si>
  <si>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</si>
  <si>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</si>
  <si>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</si>
  <si>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</si>
  <si>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</si>
  <si>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</si>
  <si>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</si>
  <si>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</si>
  <si>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</si>
  <si>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</si>
  <si>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</si>
  <si>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</si>
  <si>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</si>
  <si>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</si>
  <si>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</si>
  <si>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</si>
  <si>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</si>
  <si>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</si>
  <si>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</si>
  <si>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</si>
  <si>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</si>
  <si>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</si>
  <si>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</si>
  <si>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</si>
  <si>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</si>
  <si>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</si>
  <si>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</si>
  <si>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</si>
  <si>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</si>
  <si>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</si>
  <si>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</si>
  <si>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</si>
  <si>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</si>
  <si>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</si>
  <si>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</si>
  <si>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</si>
  <si>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</si>
  <si>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</si>
  <si>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</si>
  <si>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</si>
  <si>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</si>
  <si>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</si>
  <si>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</si>
  <si>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</si>
  <si>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</si>
  <si>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</si>
  <si>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</si>
  <si>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</si>
  <si>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</si>
  <si>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</si>
  <si>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</si>
  <si>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</si>
  <si>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</si>
  <si>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</si>
  <si>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</si>
  <si>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</si>
  <si>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</si>
  <si>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</si>
  <si>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</si>
  <si>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</si>
  <si>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</si>
  <si>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</si>
  <si>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</si>
  <si>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</si>
  <si>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</si>
  <si>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</si>
  <si>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</si>
  <si>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</si>
  <si>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</si>
  <si>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</si>
  <si>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</si>
  <si>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</si>
  <si>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</si>
  <si>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</si>
  <si>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</si>
  <si>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</si>
  <si>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</si>
  <si>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</si>
  <si>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</si>
  <si>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</si>
  <si>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</si>
  <si>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</si>
  <si>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</si>
  <si>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</si>
  <si>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</si>
  <si>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</si>
  <si>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</si>
  <si>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</si>
  <si>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</si>
  <si>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</si>
  <si>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</si>
  <si>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</si>
  <si>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</si>
  <si>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</si>
  <si>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</si>
  <si>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</si>
  <si>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</si>
  <si>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</si>
  <si>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</si>
  <si>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</si>
  <si>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</si>
  <si>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</si>
  <si>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</si>
  <si>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</si>
  <si>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</si>
  <si>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</si>
  <si>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</si>
  <si>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</si>
  <si>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</si>
  <si>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</si>
  <si>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</si>
  <si>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</si>
  <si>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</si>
  <si>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</si>
  <si>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</si>
  <si>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</si>
  <si>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</si>
  <si>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</si>
  <si>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</si>
  <si>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</si>
  <si>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</si>
  <si>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</si>
  <si>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</si>
  <si>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</si>
  <si>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</si>
  <si>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</si>
  <si>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</si>
  <si>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</si>
  <si>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</si>
  <si>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</si>
  <si>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</si>
  <si>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</si>
  <si>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</si>
  <si>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</si>
  <si>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</si>
  <si>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</si>
  <si>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</si>
  <si>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</si>
  <si>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</si>
  <si>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</si>
  <si>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</si>
  <si>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</si>
  <si>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</si>
  <si>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</si>
  <si>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</si>
  <si>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</si>
  <si>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</si>
  <si>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</si>
  <si>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</si>
  <si>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</si>
  <si>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</si>
  <si>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</si>
  <si>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</si>
  <si>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</si>
  <si>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</si>
  <si>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</si>
  <si>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</si>
  <si>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</si>
  <si>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</si>
  <si>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</si>
  <si>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</si>
  <si>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</si>
  <si>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</si>
  <si>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</si>
  <si>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</si>
  <si>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</si>
  <si>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</si>
  <si>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</si>
  <si>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</si>
  <si>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</si>
  <si>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</si>
  <si>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</si>
  <si>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</si>
  <si>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</si>
  <si>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</si>
  <si>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</si>
  <si>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</si>
  <si>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</si>
  <si>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</si>
  <si>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</si>
  <si>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</si>
  <si>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</si>
  <si>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</si>
  <si>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</si>
  <si>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</si>
  <si>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</si>
  <si>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</si>
  <si>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</si>
  <si>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</si>
  <si>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</si>
  <si>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</si>
  <si>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</si>
  <si>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</si>
  <si>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</si>
  <si>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</si>
  <si>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</si>
  <si>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</si>
  <si>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</si>
  <si>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</si>
  <si>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</si>
  <si>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</si>
  <si>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</si>
  <si>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</si>
  <si>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</si>
  <si>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</si>
  <si>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</si>
  <si>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</si>
  <si>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</si>
  <si>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</si>
  <si>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</si>
  <si>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</si>
  <si>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</si>
  <si>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</si>
  <si>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</si>
  <si>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</si>
  <si>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</si>
  <si>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</si>
  <si>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</si>
  <si>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</si>
  <si>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</si>
  <si>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</si>
  <si>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</si>
  <si>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</si>
  <si>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</si>
  <si>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</si>
  <si>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</si>
  <si>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</si>
  <si>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</si>
  <si>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</si>
  <si>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</si>
  <si>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</si>
  <si>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</si>
  <si>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</si>
  <si>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</si>
  <si>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</si>
  <si>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</si>
  <si>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</si>
  <si>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</si>
  <si>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</si>
  <si>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</si>
  <si>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</si>
  <si>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</si>
  <si>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</si>
  <si>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</si>
  <si>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</si>
  <si>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</si>
  <si>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</si>
  <si>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</si>
  <si>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</si>
  <si>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</si>
  <si>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</si>
  <si>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</si>
  <si>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</si>
  <si>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</si>
  <si>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</si>
  <si>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</si>
  <si>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</si>
  <si>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</si>
  <si>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</si>
  <si>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</si>
  <si>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</si>
  <si>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</si>
  <si>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</si>
  <si>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</si>
  <si>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</si>
  <si>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</si>
  <si>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</si>
  <si>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</si>
  <si>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</si>
  <si>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</si>
  <si>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</si>
  <si>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</si>
  <si>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</si>
  <si>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</si>
  <si>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</si>
  <si>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</si>
  <si>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</si>
  <si>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</si>
  <si>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</si>
  <si>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</si>
  <si>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</si>
  <si>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</si>
  <si>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</si>
  <si>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</si>
  <si>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</si>
  <si>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</si>
  <si>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</si>
  <si>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</si>
  <si>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</si>
  <si>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</si>
  <si>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</si>
  <si>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</si>
  <si>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</si>
  <si>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</si>
  <si>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</si>
  <si>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</si>
  <si>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</si>
  <si>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</si>
  <si>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</si>
  <si>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</si>
  <si>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</si>
  <si>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</si>
  <si>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</si>
  <si>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</si>
  <si>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</si>
  <si>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</si>
  <si>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</si>
  <si>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</si>
  <si>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</si>
  <si>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</si>
  <si>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</si>
  <si>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</si>
  <si>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</si>
  <si>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</si>
  <si>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</si>
  <si>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</si>
  <si>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</si>
  <si>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</si>
  <si>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</si>
  <si>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</si>
  <si>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</si>
  <si>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</si>
  <si>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</si>
  <si>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</si>
  <si>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</si>
  <si>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</si>
  <si>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</si>
  <si>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</si>
  <si>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</si>
  <si>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</si>
  <si>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</si>
  <si>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</si>
  <si>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</si>
  <si>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</si>
  <si>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</si>
  <si>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</si>
  <si>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</si>
  <si>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</si>
  <si>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</si>
  <si>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</si>
  <si>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</si>
  <si>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</si>
  <si>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</si>
  <si>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</si>
  <si>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</si>
  <si>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</si>
  <si>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</si>
  <si>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</si>
  <si>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</si>
  <si>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</si>
  <si>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</si>
  <si>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</si>
  <si>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</si>
  <si>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</si>
  <si>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</si>
  <si>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</si>
  <si>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</si>
  <si>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</si>
  <si>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</si>
  <si>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</si>
  <si>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</si>
  <si>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</si>
  <si>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</si>
  <si>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</si>
  <si>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</si>
  <si>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</si>
  <si>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</si>
  <si>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</si>
  <si>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</si>
  <si>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</si>
  <si>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</si>
  <si>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</si>
  <si>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</si>
  <si>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</si>
  <si>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</si>
  <si>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</si>
  <si>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</si>
  <si>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</si>
  <si>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</si>
  <si>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</si>
  <si>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</si>
  <si>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</si>
  <si>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</si>
  <si>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</si>
  <si>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</si>
  <si>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</si>
  <si>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</si>
  <si>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</si>
  <si>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</si>
  <si>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</si>
  <si>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</si>
  <si>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</si>
  <si>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</si>
  <si>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</si>
  <si>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</si>
  <si>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</si>
  <si>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</si>
  <si>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</si>
  <si>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</si>
  <si>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</si>
  <si>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</si>
  <si>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</si>
  <si>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</si>
  <si>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</si>
  <si>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</si>
  <si>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</si>
  <si>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</si>
  <si>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</si>
  <si>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</si>
  <si>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</si>
  <si>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</si>
  <si>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</si>
  <si>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</si>
  <si>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</si>
  <si>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</si>
  <si>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</si>
  <si>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</si>
  <si>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</si>
  <si>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</si>
  <si>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</si>
  <si>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</si>
  <si>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</si>
  <si>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</si>
  <si>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</si>
  <si>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</si>
  <si>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</si>
  <si>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</si>
  <si>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</si>
  <si>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</si>
  <si>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</si>
  <si>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</si>
  <si>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</si>
  <si>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</si>
  <si>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</si>
  <si>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</si>
  <si>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</si>
  <si>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</si>
  <si>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</si>
  <si>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</si>
  <si>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</si>
  <si>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</si>
  <si>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</si>
  <si>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</si>
  <si>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</si>
  <si>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</si>
  <si>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</si>
  <si>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</si>
  <si>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</si>
  <si>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</si>
  <si>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</si>
  <si>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</si>
  <si>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</si>
  <si>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</si>
  <si>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</si>
  <si>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</si>
  <si>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</si>
  <si>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</si>
  <si>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</si>
  <si>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</si>
  <si>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</si>
  <si>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</si>
  <si>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</si>
  <si>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</si>
  <si>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</si>
  <si>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</si>
  <si>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</si>
  <si>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</si>
  <si>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</si>
  <si>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</si>
  <si>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</si>
  <si>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</si>
  <si>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</si>
  <si>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</si>
  <si>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</si>
  <si>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</si>
  <si>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</si>
  <si>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</si>
  <si>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</si>
  <si>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</si>
  <si>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</si>
  <si>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</si>
  <si>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</si>
  <si>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</si>
  <si>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</si>
  <si>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</si>
  <si>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</si>
  <si>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</si>
  <si>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</si>
  <si>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</si>
  <si>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</si>
  <si>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</si>
  <si>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</si>
  <si>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</si>
  <si>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</si>
  <si>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</si>
  <si>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</si>
  <si>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</si>
  <si>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</si>
  <si>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</si>
  <si>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</si>
  <si>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</si>
  <si>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</si>
  <si>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</si>
  <si>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</si>
  <si>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</si>
  <si>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</si>
  <si>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</si>
  <si>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</si>
  <si>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</si>
  <si>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</si>
  <si>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</si>
  <si>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</si>
  <si>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</si>
  <si>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</si>
  <si>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</si>
  <si>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</si>
  <si>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</si>
  <si>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</si>
  <si>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</si>
  <si>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</si>
  <si>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</si>
  <si>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</si>
  <si>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</si>
  <si>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</si>
  <si>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</si>
  <si>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</si>
  <si>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</si>
  <si>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</si>
  <si>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</si>
  <si>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</si>
  <si>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</si>
  <si>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</si>
  <si>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</si>
  <si>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</si>
  <si>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</si>
  <si>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</si>
  <si>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</si>
  <si>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</si>
  <si>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</si>
  <si>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</si>
  <si>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</si>
  <si>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</si>
  <si>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</si>
  <si>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</si>
  <si>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</si>
  <si>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</si>
  <si>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</si>
  <si>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</si>
  <si>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</si>
  <si>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</si>
  <si>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</si>
  <si>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</si>
  <si>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</si>
  <si>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</si>
  <si>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</si>
  <si>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</si>
  <si>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</si>
  <si>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</si>
  <si>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</si>
  <si>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</si>
  <si>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</si>
  <si>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</si>
  <si>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</si>
  <si>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</si>
  <si>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</si>
  <si>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</si>
  <si>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</si>
  <si>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</si>
  <si>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</si>
  <si>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</si>
  <si>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</si>
  <si>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</si>
  <si>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</si>
  <si>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</si>
  <si>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</si>
  <si>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</si>
  <si>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</si>
  <si>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</si>
  <si>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</si>
  <si>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</si>
  <si>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</si>
  <si>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</si>
  <si>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</si>
  <si>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</si>
  <si>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</si>
  <si>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</si>
  <si>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</si>
  <si>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</si>
  <si>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</si>
  <si>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</si>
  <si>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</si>
  <si>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</si>
  <si>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</si>
  <si>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</si>
  <si>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</si>
  <si>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</si>
  <si>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</si>
  <si>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</si>
  <si>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</si>
  <si>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</si>
  <si>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</si>
  <si>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</si>
  <si>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</si>
  <si>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</si>
  <si>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</si>
  <si>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</si>
  <si>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</si>
  <si>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</si>
  <si>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</si>
  <si>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</si>
  <si>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</si>
  <si>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</si>
  <si>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</si>
  <si>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</si>
  <si>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</si>
  <si>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</si>
  <si>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</si>
  <si>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</si>
  <si>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</si>
  <si>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</si>
  <si>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</si>
  <si>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</si>
  <si>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</si>
  <si>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</si>
  <si>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</si>
  <si>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</si>
  <si>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</si>
  <si>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</si>
  <si>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</si>
  <si>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</si>
  <si>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</si>
  <si>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</si>
  <si>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</si>
  <si>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</si>
  <si>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</si>
  <si>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</si>
  <si>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</si>
  <si>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</si>
  <si>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</si>
  <si>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</si>
  <si>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</si>
  <si>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</si>
  <si>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</si>
  <si>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</si>
  <si>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</si>
  <si>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</si>
  <si>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</si>
  <si>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</si>
  <si>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</si>
  <si>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</si>
  <si>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</si>
  <si>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</si>
  <si>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</si>
  <si>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</si>
  <si>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</si>
  <si>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</si>
  <si>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</si>
  <si>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</si>
  <si>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</si>
  <si>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</si>
  <si>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</si>
  <si>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</si>
  <si>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</si>
  <si>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</si>
  <si>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</si>
  <si>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</si>
  <si>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</si>
  <si>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</si>
  <si>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</si>
  <si>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</si>
  <si>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</si>
  <si>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</si>
  <si>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</si>
  <si>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</si>
  <si>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</si>
  <si>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</si>
  <si>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</si>
  <si>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</si>
  <si>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</si>
  <si>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</si>
  <si>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</si>
  <si>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</si>
  <si>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</si>
  <si>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</si>
  <si>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</si>
  <si>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</si>
  <si>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</si>
  <si>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</si>
  <si>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</si>
  <si>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</si>
  <si>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</si>
  <si>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</si>
  <si>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</si>
  <si>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</si>
  <si>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</si>
  <si>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</si>
  <si>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</si>
  <si>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</si>
  <si>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</si>
  <si>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</si>
  <si>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</si>
  <si>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</si>
  <si>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</si>
  <si>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</si>
  <si>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</si>
  <si>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</si>
  <si>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</si>
  <si>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</si>
  <si>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</si>
  <si>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</si>
  <si>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</si>
  <si>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</si>
  <si>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</si>
  <si>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</si>
  <si>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</si>
  <si>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</si>
  <si>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</si>
  <si>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</si>
  <si>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</si>
  <si>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</si>
  <si>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</si>
  <si>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</si>
  <si>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</si>
  <si>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</si>
  <si>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</si>
  <si>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</si>
  <si>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</si>
  <si>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</si>
  <si>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</si>
  <si>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</si>
  <si>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</si>
  <si>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</si>
  <si>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</si>
  <si>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</si>
  <si>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</si>
  <si>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</si>
  <si>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</si>
  <si>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</si>
  <si>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</si>
  <si>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</si>
  <si>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</si>
  <si>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</si>
  <si>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</si>
  <si>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</si>
  <si>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</si>
  <si>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</si>
  <si>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</si>
  <si>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</si>
  <si>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</si>
  <si>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</si>
  <si>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</si>
  <si>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</si>
  <si>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</si>
  <si>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</si>
  <si>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</si>
  <si>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</si>
  <si>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</si>
  <si>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</si>
  <si>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</si>
  <si>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</si>
  <si>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</si>
  <si>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</si>
  <si>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</si>
  <si>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</si>
  <si>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</si>
  <si>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</si>
  <si>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</si>
  <si>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</si>
  <si>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</si>
  <si>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</si>
  <si>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</si>
  <si>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</si>
  <si>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</si>
  <si>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</si>
  <si>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</si>
  <si>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</si>
  <si>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</si>
  <si>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</si>
  <si>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</si>
  <si>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</si>
  <si>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</si>
  <si>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</si>
  <si>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</si>
  <si>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</si>
  <si>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</si>
  <si>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</si>
  <si>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</si>
  <si>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</si>
  <si>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</si>
  <si>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</si>
  <si>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</si>
  <si>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</si>
  <si>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</si>
  <si>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</si>
  <si>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</si>
  <si>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</si>
  <si>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</si>
  <si>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</si>
  <si>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</si>
  <si>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</si>
  <si>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</si>
  <si>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</si>
  <si>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</si>
  <si>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</si>
  <si>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</si>
  <si>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</si>
  <si>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</si>
  <si>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</si>
  <si>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</si>
  <si>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</si>
  <si>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</si>
  <si>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</si>
  <si>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</si>
  <si>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</si>
  <si>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</si>
  <si>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</si>
  <si>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</si>
  <si>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</si>
  <si>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</si>
  <si>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</si>
  <si>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</si>
  <si>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</si>
  <si>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</si>
  <si>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</si>
  <si>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</si>
  <si>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</si>
  <si>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</si>
  <si>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</si>
  <si>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</si>
  <si>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</si>
  <si>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</si>
  <si>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</si>
  <si>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</si>
  <si>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</si>
  <si>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</si>
  <si>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</si>
  <si>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</si>
  <si>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</si>
  <si>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</si>
  <si>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</si>
  <si>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</si>
  <si>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</si>
  <si>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</si>
  <si>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</si>
  <si>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</si>
  <si>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</si>
  <si>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</si>
  <si>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</si>
  <si>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</si>
  <si>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</si>
  <si>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</si>
  <si>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</si>
  <si>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</si>
  <si>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</si>
  <si>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</si>
  <si>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</si>
  <si>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</si>
  <si>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</si>
  <si>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</si>
  <si>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</si>
  <si>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</si>
  <si>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</si>
  <si>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</si>
  <si>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</si>
  <si>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</si>
  <si>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</si>
  <si>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</si>
  <si>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</si>
  <si>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</si>
  <si>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</si>
  <si>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</si>
  <si>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</si>
  <si>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</si>
  <si>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</si>
  <si>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</si>
  <si>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</si>
  <si>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</si>
  <si>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</si>
  <si>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</si>
  <si>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</si>
  <si>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</si>
  <si>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</si>
  <si>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</si>
  <si>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</si>
  <si>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</si>
  <si>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</si>
  <si>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</si>
  <si>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</si>
  <si>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</si>
  <si>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</si>
  <si>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</si>
  <si>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</si>
  <si>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</si>
  <si>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</si>
  <si>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</si>
  <si>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</si>
  <si>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</si>
  <si>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</si>
  <si>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</si>
  <si>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</si>
  <si>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</si>
  <si>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</si>
  <si>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</si>
  <si>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</si>
  <si>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</si>
  <si>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</si>
  <si>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</si>
  <si>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</si>
  <si>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</si>
  <si>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</si>
  <si>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</si>
  <si>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</si>
  <si>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</si>
  <si>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</si>
  <si>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</si>
  <si>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</si>
  <si>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</si>
  <si>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</si>
  <si>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</si>
  <si>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</si>
  <si>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</si>
  <si>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</si>
  <si>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</si>
  <si>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</si>
  <si>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</si>
  <si>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</si>
  <si>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</si>
  <si>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</si>
  <si>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</si>
  <si>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</si>
  <si>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</si>
  <si>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</si>
  <si>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</si>
  <si>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</si>
  <si>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</si>
  <si>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</si>
  <si>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</si>
  <si>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</si>
  <si>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</si>
  <si>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</si>
  <si>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</si>
  <si>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</si>
  <si>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</si>
  <si>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</si>
  <si>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</si>
  <si>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</si>
  <si>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</si>
  <si>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</si>
  <si>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</si>
  <si>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</si>
  <si>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</si>
  <si>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</si>
  <si>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</si>
  <si>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</si>
  <si>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</si>
  <si>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</si>
  <si>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</si>
  <si>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</si>
  <si>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</si>
  <si>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</si>
  <si>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</si>
  <si>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</si>
  <si>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</si>
  <si>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</si>
  <si>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</si>
  <si>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</si>
  <si>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</si>
  <si>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</si>
  <si>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</si>
  <si>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</si>
  <si>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</si>
  <si>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</si>
  <si>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</si>
  <si>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</si>
  <si>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</si>
  <si>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</si>
  <si>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</si>
  <si>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</si>
  <si>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</si>
  <si>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</si>
  <si>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</si>
  <si>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</si>
  <si>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</si>
  <si>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</si>
  <si>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</si>
  <si>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</si>
  <si>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</si>
  <si>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</si>
  <si>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</si>
  <si>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</si>
  <si>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</si>
  <si>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</si>
  <si>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</si>
  <si>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</si>
  <si>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</si>
  <si>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</si>
  <si>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</si>
  <si>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</si>
  <si>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</si>
  <si>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</si>
  <si>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</si>
  <si>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</si>
  <si>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</si>
  <si>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</si>
  <si>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</si>
  <si>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</si>
  <si>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</si>
  <si>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</si>
  <si>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</si>
  <si>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</si>
  <si>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</si>
  <si>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</si>
  <si>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</si>
  <si>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</si>
  <si>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</si>
  <si>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</si>
  <si>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</si>
  <si>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</si>
  <si>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</si>
  <si>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</si>
  <si>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</si>
  <si>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</si>
  <si>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</si>
  <si>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</si>
  <si>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</si>
  <si>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</si>
  <si>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</si>
  <si>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</si>
  <si>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</si>
  <si>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</si>
  <si>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</si>
  <si>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</si>
  <si>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</si>
  <si>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</si>
  <si>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</si>
  <si>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</si>
  <si>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</si>
  <si>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</si>
  <si>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</si>
  <si>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</si>
  <si>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</si>
  <si>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</si>
  <si>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</si>
  <si>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</si>
  <si>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</si>
  <si>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</si>
  <si>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</si>
  <si>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</si>
  <si>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</si>
  <si>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</si>
  <si>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</si>
  <si>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</si>
  <si>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</si>
  <si>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</si>
  <si>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</si>
  <si>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</si>
  <si>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</si>
  <si>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</si>
  <si>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</si>
  <si>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</si>
  <si>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</si>
  <si>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</si>
  <si>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</si>
  <si>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</si>
  <si>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</si>
  <si>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</si>
  <si>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</si>
  <si>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</si>
  <si>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</si>
  <si>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</si>
  <si>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</si>
  <si>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</si>
  <si>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</si>
  <si>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</si>
  <si>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</si>
  <si>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</si>
  <si>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</si>
  <si>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</si>
  <si>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</si>
  <si>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</si>
  <si>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</si>
  <si>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</si>
  <si>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</si>
  <si>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</si>
  <si>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</si>
  <si>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</si>
  <si>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</si>
  <si>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</si>
  <si>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</si>
  <si>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</si>
  <si>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</si>
  <si>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</si>
  <si>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</si>
  <si>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</si>
  <si>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</si>
  <si>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</si>
  <si>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</si>
  <si>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</si>
  <si>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</si>
  <si>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</si>
  <si>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</si>
  <si>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</si>
  <si>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</si>
  <si>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</si>
  <si>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</si>
  <si>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</si>
  <si>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</si>
  <si>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</si>
  <si>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</si>
  <si>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</si>
  <si>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</si>
  <si>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</si>
  <si>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</si>
  <si>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</si>
  <si>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</si>
  <si>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</si>
  <si>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</si>
  <si>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</si>
  <si>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</si>
  <si>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</si>
  <si>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</si>
  <si>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</si>
  <si>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</si>
  <si>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</si>
  <si>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</si>
  <si>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</si>
  <si>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</si>
  <si>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</si>
  <si>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</si>
  <si>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</si>
  <si>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</si>
  <si>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</si>
  <si>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</si>
  <si>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</si>
  <si>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</si>
  <si>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</si>
  <si>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</si>
  <si>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</si>
  <si>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</si>
  <si>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</si>
  <si>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</si>
  <si>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</si>
  <si>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</si>
  <si>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</si>
  <si>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</si>
  <si>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</si>
  <si>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</si>
  <si>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</si>
  <si>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</si>
  <si>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</si>
  <si>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</si>
  <si>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</si>
  <si>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</si>
  <si>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</si>
  <si>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</si>
  <si>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</si>
  <si>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</si>
  <si>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</si>
  <si>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</si>
  <si>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</si>
  <si>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</si>
  <si>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</si>
  <si>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</si>
  <si>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</si>
  <si>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</si>
  <si>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</si>
  <si>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</si>
  <si>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</si>
  <si>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</si>
  <si>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</si>
  <si>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</si>
  <si>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</si>
  <si>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</si>
  <si>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</si>
  <si>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</si>
  <si>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</si>
  <si>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</si>
  <si>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</si>
  <si>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</si>
  <si>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</si>
  <si>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</si>
  <si>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</si>
  <si>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</si>
  <si>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</si>
  <si>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</si>
  <si>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</si>
  <si>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</si>
  <si>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</si>
  <si>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</si>
  <si>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</si>
  <si>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</si>
  <si>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</si>
  <si>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</si>
  <si>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</si>
  <si>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</si>
  <si>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</si>
  <si>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</si>
  <si>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</si>
  <si>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</si>
  <si>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</si>
  <si>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</si>
  <si>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</si>
  <si>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</si>
  <si>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</si>
  <si>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</si>
  <si>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</si>
  <si>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</si>
  <si>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</si>
  <si>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</si>
  <si>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</si>
  <si>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</si>
  <si>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</si>
  <si>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</si>
  <si>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</si>
  <si>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</si>
  <si>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</si>
  <si>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</si>
  <si>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</si>
  <si>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</si>
  <si>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</si>
  <si>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</si>
  <si>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</si>
  <si>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</si>
  <si>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</si>
  <si>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</si>
  <si>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</si>
  <si>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</si>
  <si>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</si>
  <si>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</si>
  <si>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</si>
  <si>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</si>
  <si>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</si>
  <si>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</si>
  <si>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</si>
  <si>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</si>
  <si>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</si>
  <si>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</si>
  <si>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</si>
  <si>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</si>
  <si>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</si>
  <si>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</si>
  <si>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</si>
  <si>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</si>
  <si>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</si>
  <si>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</si>
  <si>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</si>
  <si>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</si>
  <si>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</si>
  <si>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</si>
  <si>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</si>
  <si>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</si>
  <si>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</si>
  <si>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</si>
  <si>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</si>
  <si>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</si>
  <si>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</si>
  <si>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</si>
  <si>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</si>
  <si>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</si>
  <si>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</si>
  <si>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</si>
  <si>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</si>
  <si>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</si>
  <si>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</si>
  <si>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</si>
  <si>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</si>
  <si>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</si>
  <si>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</si>
  <si>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</si>
  <si>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</si>
  <si>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</si>
  <si>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</si>
  <si>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</si>
  <si>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</si>
  <si>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</si>
  <si>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</si>
  <si>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</si>
  <si>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</si>
  <si>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</si>
  <si>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</si>
  <si>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</si>
  <si>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</si>
  <si>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</si>
  <si>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</si>
  <si>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</si>
  <si>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</si>
  <si>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</si>
  <si>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</si>
  <si>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</si>
  <si>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</si>
  <si>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</si>
  <si>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</si>
  <si>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</si>
  <si>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</si>
  <si>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</si>
  <si>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</si>
  <si>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</si>
  <si>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</si>
  <si>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</si>
  <si>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</si>
  <si>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</si>
  <si>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</si>
  <si>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</si>
  <si>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</si>
  <si>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</si>
  <si>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</si>
  <si>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</si>
  <si>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</si>
  <si>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</si>
  <si>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</si>
  <si>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</si>
  <si>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</si>
  <si>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</si>
  <si>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</si>
  <si>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</si>
  <si>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</si>
  <si>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</si>
  <si>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</si>
  <si>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</si>
  <si>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</si>
  <si>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</si>
  <si>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</si>
  <si>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</si>
  <si>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</si>
  <si>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</si>
  <si>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</si>
  <si>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</si>
  <si>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</si>
  <si>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</si>
  <si>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</si>
  <si>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</si>
  <si>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</si>
  <si>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</si>
  <si>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</si>
  <si>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</si>
  <si>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</si>
  <si>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</si>
  <si>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</si>
  <si>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</si>
  <si>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</si>
  <si>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</si>
  <si>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</si>
  <si>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</si>
  <si>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</si>
  <si>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</si>
  <si>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</si>
  <si>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</si>
  <si>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</si>
  <si>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</si>
  <si>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</si>
  <si>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</si>
  <si>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</si>
  <si>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</si>
  <si>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</si>
  <si>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</si>
  <si>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</si>
  <si>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</si>
  <si>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</si>
  <si>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</si>
  <si>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</si>
  <si>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</si>
  <si>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</si>
  <si>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</si>
  <si>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</si>
  <si>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</si>
  <si>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</si>
  <si>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</si>
  <si>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</si>
  <si>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</si>
  <si>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</si>
  <si>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</si>
  <si>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</si>
  <si>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</si>
  <si>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</si>
  <si>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</si>
  <si>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</si>
  <si>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</si>
  <si>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</si>
  <si>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</si>
  <si>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</si>
  <si>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</si>
  <si>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</si>
  <si>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</si>
  <si>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</si>
  <si>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</si>
  <si>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</si>
  <si>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</si>
  <si>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</si>
  <si>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</si>
  <si>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</si>
  <si>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</si>
  <si>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</si>
  <si>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</si>
  <si>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</si>
  <si>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</si>
  <si>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</si>
  <si>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</si>
  <si>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</si>
  <si>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</si>
  <si>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</si>
  <si>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</si>
  <si>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</si>
  <si>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</si>
  <si>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</si>
  <si>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</si>
  <si>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</si>
  <si>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</si>
  <si>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</si>
  <si>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</si>
  <si>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</si>
  <si>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</si>
  <si>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</si>
  <si>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</si>
  <si>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</si>
  <si>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</si>
  <si>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</si>
  <si>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</si>
  <si>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</si>
  <si>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</si>
  <si>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</si>
  <si>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</si>
  <si>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</si>
  <si>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</si>
  <si>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</si>
  <si>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</si>
  <si>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</si>
  <si>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</si>
  <si>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</si>
  <si>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</si>
  <si>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</si>
  <si>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</si>
  <si>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</si>
  <si>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</si>
  <si>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</si>
  <si>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</si>
  <si>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</si>
  <si>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</si>
  <si>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</si>
  <si>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</si>
  <si>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</si>
  <si>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</si>
  <si>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</si>
  <si>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</si>
  <si>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</si>
  <si>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</si>
  <si>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</si>
  <si>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</si>
  <si>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</si>
  <si>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</si>
  <si>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</si>
  <si>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</si>
  <si>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</si>
  <si>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</si>
  <si>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</si>
  <si>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</si>
  <si>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</si>
  <si>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</si>
  <si>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</si>
  <si>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</si>
  <si>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</si>
  <si>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</si>
  <si>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</si>
  <si>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</si>
  <si>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</si>
  <si>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</si>
  <si>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</si>
  <si>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</si>
  <si>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</si>
  <si>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</si>
  <si>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</si>
  <si>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</si>
  <si>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</si>
  <si>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</si>
  <si>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</si>
  <si>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</si>
  <si>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</si>
  <si>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</si>
  <si>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</si>
  <si>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</si>
  <si>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</si>
  <si>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</si>
  <si>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</si>
  <si>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</si>
  <si>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</si>
  <si>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</si>
  <si>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</si>
  <si>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</si>
  <si>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</si>
  <si>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</si>
  <si>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</si>
  <si>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</si>
  <si>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</si>
  <si>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</si>
  <si>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</si>
  <si>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</si>
  <si>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</si>
  <si>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</si>
  <si>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</si>
  <si>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</si>
  <si>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</si>
  <si>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</si>
  <si>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</si>
  <si>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</si>
  <si>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</si>
  <si>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</si>
  <si>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</si>
  <si>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</si>
  <si>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</si>
  <si>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</si>
  <si>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</si>
  <si>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</si>
  <si>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</si>
  <si>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</si>
  <si>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</si>
  <si>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</si>
  <si>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</si>
  <si>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</si>
  <si>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</si>
  <si>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</si>
  <si>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</si>
  <si>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</si>
  <si>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</si>
  <si>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</si>
  <si>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</si>
  <si>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</si>
  <si>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</si>
  <si>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</si>
  <si>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</si>
  <si>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</si>
  <si>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</si>
  <si>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</si>
  <si>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</si>
  <si>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</si>
  <si>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</si>
  <si>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</si>
  <si>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</si>
  <si>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</si>
  <si>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</si>
  <si>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</si>
  <si>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</si>
  <si>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</si>
  <si>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</si>
  <si>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</si>
  <si>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</si>
  <si>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</si>
  <si>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</si>
  <si>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</si>
  <si>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</si>
  <si>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</si>
  <si>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</si>
  <si>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</si>
  <si>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</si>
  <si>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</si>
  <si>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</si>
  <si>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</si>
  <si>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</si>
  <si>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</si>
  <si>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</si>
  <si>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</si>
  <si>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</si>
  <si>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</si>
  <si>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</si>
  <si>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</si>
  <si>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</si>
  <si>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</si>
  <si>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</si>
  <si>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</si>
  <si>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</si>
  <si>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</si>
  <si>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</si>
  <si>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</si>
  <si>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</si>
  <si>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</si>
  <si>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</si>
  <si>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</si>
  <si>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</si>
  <si>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</si>
  <si>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</si>
  <si>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</si>
  <si>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</si>
  <si>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</si>
  <si>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</si>
  <si>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</si>
  <si>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</si>
  <si>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</si>
  <si>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</si>
  <si>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</si>
  <si>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</si>
  <si>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</si>
  <si>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</si>
  <si>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</si>
  <si>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</si>
  <si>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</si>
  <si>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</si>
  <si>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</si>
  <si>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</si>
  <si>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</si>
  <si>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</si>
  <si>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</si>
  <si>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</si>
  <si>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</si>
  <si>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</si>
  <si>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</si>
  <si>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</si>
  <si>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</si>
  <si>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</si>
  <si>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</si>
  <si>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</si>
  <si>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</si>
  <si>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</si>
  <si>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</si>
  <si>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</si>
  <si>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</si>
  <si>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</si>
  <si>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</si>
  <si>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</si>
  <si>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</si>
  <si>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</si>
  <si>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</si>
  <si>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</si>
  <si>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</si>
  <si>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</si>
  <si>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</si>
  <si>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</si>
  <si>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</si>
  <si>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</si>
  <si>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</si>
  <si>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</si>
  <si>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</si>
  <si>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</si>
  <si>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</si>
  <si>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</si>
  <si>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</si>
  <si>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</si>
  <si>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</si>
  <si>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</si>
  <si>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</si>
  <si>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</si>
  <si>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</si>
  <si>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</si>
  <si>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</si>
  <si>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</si>
  <si>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</si>
  <si>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</si>
  <si>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</si>
  <si>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</si>
  <si>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</si>
  <si>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</si>
  <si>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</si>
  <si>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</si>
  <si>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</si>
  <si>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</si>
  <si>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</si>
  <si>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</si>
  <si>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</si>
  <si>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</si>
  <si>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</si>
  <si>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</si>
  <si>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</si>
  <si>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</si>
  <si>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</si>
  <si>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</si>
  <si>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</si>
  <si>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</si>
  <si>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</si>
  <si>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</si>
  <si>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</si>
  <si>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</si>
  <si>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</si>
  <si>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</si>
  <si>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</si>
  <si>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</si>
  <si>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</si>
  <si>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</si>
  <si>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</si>
  <si>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</si>
  <si>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</si>
  <si>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</si>
  <si>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</si>
  <si>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</si>
  <si>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</si>
  <si>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</si>
  <si>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</si>
  <si>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</si>
  <si>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</si>
  <si>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</si>
  <si>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</si>
  <si>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</si>
  <si>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</si>
  <si>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</si>
  <si>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</si>
  <si>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</si>
  <si>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</si>
  <si>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</si>
  <si>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</si>
  <si>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</si>
  <si>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</si>
  <si>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</si>
  <si>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</si>
  <si>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</si>
  <si>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</si>
  <si>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</si>
  <si>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</si>
  <si>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</si>
  <si>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</si>
  <si>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</si>
  <si>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</si>
  <si>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</si>
  <si>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</si>
  <si>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</si>
  <si>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</si>
  <si>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</si>
  <si>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</si>
  <si>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</si>
  <si>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</si>
  <si>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</si>
  <si>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</si>
  <si>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</si>
  <si>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</si>
  <si>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</si>
  <si>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</si>
  <si>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</si>
  <si>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</si>
  <si>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</si>
  <si>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</si>
  <si>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</si>
  <si>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</si>
  <si>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</si>
  <si>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</si>
  <si>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</si>
  <si>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</si>
  <si>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</si>
  <si>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</si>
  <si>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</si>
  <si>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</si>
  <si>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</si>
  <si>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</si>
  <si>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</si>
  <si>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</si>
  <si>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</si>
  <si>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</si>
  <si>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</si>
  <si>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</si>
  <si>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</si>
  <si>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</si>
  <si>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</si>
  <si>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</si>
  <si>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</si>
  <si>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</si>
  <si>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</si>
  <si>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</si>
  <si>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</si>
  <si>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</si>
  <si>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</si>
  <si>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</si>
  <si>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</si>
  <si>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</si>
  <si>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</si>
  <si>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</si>
  <si>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</si>
  <si>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</si>
  <si>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</si>
  <si>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</si>
  <si>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</si>
  <si>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</si>
  <si>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</si>
  <si>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</si>
  <si>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</si>
  <si>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</si>
  <si>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</si>
  <si>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</si>
  <si>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</si>
  <si>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</si>
  <si>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</si>
  <si>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</si>
  <si>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</si>
  <si>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</si>
  <si>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</si>
  <si>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</si>
  <si>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</si>
  <si>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</si>
  <si>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</si>
  <si>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</si>
  <si>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</si>
  <si>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</si>
  <si>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</si>
  <si>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</si>
  <si>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</si>
  <si>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</si>
  <si>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</si>
  <si>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</si>
  <si>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</si>
  <si>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</si>
  <si>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</si>
  <si>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</si>
  <si>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</si>
  <si>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</si>
  <si>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</si>
  <si>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</si>
  <si>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</si>
  <si>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</si>
  <si>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</si>
  <si>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</si>
  <si>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</si>
  <si>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</si>
  <si>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</si>
  <si>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</si>
  <si>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</si>
  <si>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</si>
  <si>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</si>
  <si>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</si>
  <si>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</si>
  <si>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</si>
  <si>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</si>
  <si>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</si>
  <si>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</si>
  <si>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</si>
  <si>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</si>
  <si>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</si>
  <si>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</si>
  <si>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</si>
  <si>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</si>
  <si>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</si>
  <si>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</si>
  <si>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</si>
  <si>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</si>
  <si>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</si>
  <si>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</si>
  <si>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</si>
  <si>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</si>
  <si>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</si>
  <si>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</si>
  <si>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</si>
  <si>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</si>
  <si>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</si>
  <si>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</si>
  <si>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</si>
  <si>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</si>
  <si>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</si>
  <si>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</si>
  <si>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</si>
  <si>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</si>
  <si>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</si>
  <si>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</si>
  <si>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</si>
  <si>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</si>
  <si>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</si>
  <si>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</si>
  <si>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</si>
  <si>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</si>
  <si>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</si>
  <si>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</si>
  <si>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</si>
  <si>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</si>
  <si>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</si>
  <si>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</si>
  <si>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</si>
  <si>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</si>
  <si>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</si>
  <si>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</si>
  <si>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</si>
  <si>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</si>
  <si>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</si>
  <si>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</si>
  <si>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</si>
  <si>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</si>
  <si>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</si>
  <si>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</si>
  <si>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</si>
  <si>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</si>
  <si>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</si>
  <si>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</si>
  <si>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</si>
  <si>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</si>
  <si>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</si>
  <si>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</si>
  <si>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</si>
  <si>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</si>
  <si>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</si>
  <si>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</si>
  <si>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</si>
  <si>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</si>
  <si>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</si>
  <si>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</si>
  <si>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</si>
  <si>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</si>
  <si>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</si>
  <si>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</si>
  <si>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</si>
  <si>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</si>
  <si>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</si>
  <si>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</si>
  <si>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</si>
  <si>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</si>
  <si>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</si>
  <si>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</si>
  <si>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</si>
  <si>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</si>
  <si>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</si>
  <si>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</si>
  <si>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</si>
  <si>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</si>
  <si>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</si>
  <si>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</si>
  <si>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</si>
  <si>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</si>
  <si>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</si>
  <si>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</si>
  <si>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</si>
  <si>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</si>
  <si>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</si>
  <si>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</si>
  <si>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</si>
  <si>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</si>
  <si>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</si>
  <si>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</si>
  <si>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</si>
  <si>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</si>
  <si>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</si>
  <si>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</si>
  <si>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</si>
  <si>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</si>
  <si>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</si>
  <si>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</si>
  <si>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</si>
  <si>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</si>
  <si>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</si>
  <si>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</si>
  <si>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</si>
  <si>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</si>
  <si>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</si>
  <si>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</si>
  <si>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</si>
  <si>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</si>
  <si>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</si>
  <si>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</si>
  <si>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</si>
  <si>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</si>
  <si>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</si>
  <si>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</si>
  <si>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</si>
  <si>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</si>
  <si>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</si>
  <si>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</si>
  <si>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</si>
  <si>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</si>
  <si>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</si>
  <si>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</si>
  <si>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</si>
  <si>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</si>
  <si>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</si>
  <si>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</si>
  <si>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</si>
  <si>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</si>
  <si>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</si>
  <si>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</si>
  <si>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</si>
  <si>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</si>
  <si>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</si>
  <si>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</si>
  <si>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</si>
  <si>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</si>
  <si>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</si>
  <si>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</si>
  <si>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</si>
  <si>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</si>
  <si>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</si>
  <si>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</si>
  <si>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</si>
  <si>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</si>
  <si>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</si>
  <si>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</si>
  <si>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</si>
  <si>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</si>
  <si>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</si>
  <si>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</si>
  <si>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</si>
  <si>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</si>
  <si>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</si>
  <si>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</si>
  <si>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</si>
  <si>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</si>
  <si>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</si>
  <si>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</si>
  <si>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</si>
  <si>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</si>
  <si>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</si>
  <si>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</si>
  <si>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</si>
  <si>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</si>
  <si>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</si>
  <si>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</si>
  <si>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</si>
  <si>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</si>
  <si>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</si>
  <si>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</si>
  <si>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</si>
  <si>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</si>
  <si>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</si>
  <si>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</si>
  <si>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</si>
  <si>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</si>
  <si>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</si>
  <si>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</si>
  <si>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</si>
  <si>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</si>
  <si>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</si>
  <si>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</si>
  <si>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</si>
  <si>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</si>
  <si>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</si>
  <si>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</si>
  <si>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</si>
  <si>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</si>
  <si>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</si>
  <si>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</si>
  <si>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</si>
  <si>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</si>
  <si>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</si>
  <si>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</si>
  <si>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</si>
  <si>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</si>
  <si>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</si>
  <si>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</si>
  <si>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</si>
  <si>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</si>
  <si>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</si>
  <si>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</si>
  <si>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</si>
  <si>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</si>
  <si>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</si>
  <si>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</si>
  <si>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</si>
  <si>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</si>
  <si>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</si>
  <si>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</si>
  <si>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</si>
  <si>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</si>
  <si>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</si>
  <si>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</si>
  <si>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</si>
  <si>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</si>
  <si>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</si>
  <si>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</si>
  <si>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</si>
  <si>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</si>
  <si>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</si>
  <si>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</si>
  <si>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</si>
  <si>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</si>
  <si>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</si>
  <si>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</si>
  <si>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</si>
  <si>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</si>
  <si>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</si>
  <si>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</si>
  <si>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</si>
  <si>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</si>
  <si>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</si>
  <si>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</si>
  <si>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</si>
  <si>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</si>
  <si>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</si>
  <si>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</si>
  <si>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</si>
  <si>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</si>
  <si>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</si>
  <si>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</si>
  <si>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</si>
  <si>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</si>
  <si>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</si>
  <si>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</si>
  <si>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</si>
  <si>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</si>
  <si>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</si>
  <si>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</si>
  <si>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</si>
  <si>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</si>
  <si>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</si>
  <si>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</si>
  <si>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</si>
  <si>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</si>
  <si>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</si>
  <si>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</si>
  <si>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</si>
  <si>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</si>
  <si>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</si>
  <si>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</si>
  <si>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</si>
  <si>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</si>
  <si>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</si>
  <si>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</si>
  <si>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</si>
  <si>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</si>
  <si>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</si>
  <si>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</si>
  <si>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</si>
  <si>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</si>
  <si>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</si>
  <si>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</si>
  <si>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</si>
  <si>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</si>
  <si>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</si>
  <si>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</si>
  <si>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</si>
  <si>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</si>
  <si>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</si>
  <si>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</si>
  <si>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</si>
  <si>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</si>
  <si>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</si>
  <si>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</si>
  <si>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</si>
  <si>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</si>
  <si>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</si>
  <si>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</si>
  <si>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</si>
  <si>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</si>
  <si>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</si>
  <si>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</si>
  <si>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</si>
  <si>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</si>
  <si>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</si>
  <si>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</si>
  <si>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</si>
  <si>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</si>
  <si>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</si>
  <si>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</si>
  <si>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</si>
  <si>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</si>
  <si>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</si>
  <si>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</si>
  <si>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</si>
  <si>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</si>
  <si>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</si>
  <si>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</si>
  <si>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</si>
  <si>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</si>
  <si>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</si>
  <si>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</si>
  <si>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</si>
  <si>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</si>
  <si>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</si>
  <si>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</si>
  <si>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</si>
  <si>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</si>
  <si>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</si>
  <si>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</si>
  <si>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</si>
  <si>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</si>
  <si>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</si>
  <si>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</si>
  <si>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</si>
  <si>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</si>
  <si>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</si>
  <si>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</si>
  <si>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</si>
  <si>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</si>
  <si>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</si>
  <si>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</si>
  <si>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</si>
  <si>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</si>
  <si>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</si>
  <si>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</si>
  <si>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</si>
  <si>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</si>
  <si>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</si>
  <si>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</si>
  <si>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</si>
  <si>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</si>
  <si>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</si>
  <si>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</si>
  <si>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</si>
  <si>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</si>
  <si>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</si>
  <si>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</si>
  <si>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</si>
  <si>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</si>
  <si>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</si>
  <si>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</si>
  <si>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</si>
  <si>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</si>
  <si>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</si>
  <si>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</si>
  <si>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</si>
  <si>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</si>
  <si>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</si>
  <si>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</si>
  <si>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</si>
  <si>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</si>
  <si>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</si>
  <si>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</si>
  <si>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</si>
  <si>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</si>
  <si>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</si>
  <si>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</si>
  <si>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</si>
  <si>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</si>
  <si>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</si>
  <si>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</si>
  <si>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</si>
  <si>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</si>
  <si>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</si>
  <si>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</si>
  <si>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</si>
  <si>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</si>
  <si>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</si>
  <si>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</si>
  <si>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</si>
  <si>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</si>
  <si>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</si>
  <si>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</si>
  <si>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</si>
  <si>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</si>
  <si>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</si>
  <si>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</si>
  <si>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</si>
  <si>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</si>
  <si>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</si>
  <si>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</si>
  <si>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</si>
  <si>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</si>
  <si>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</si>
  <si>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</si>
  <si>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</si>
  <si>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</si>
  <si>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</si>
  <si>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</si>
  <si>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</si>
  <si>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</si>
  <si>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</si>
  <si>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</si>
  <si>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</si>
  <si>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</si>
  <si>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</si>
  <si>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</si>
  <si>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</si>
  <si>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</si>
  <si>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</si>
  <si>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</si>
  <si>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</si>
  <si>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</si>
  <si>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</si>
  <si>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</si>
  <si>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</si>
  <si>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</si>
  <si>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</si>
  <si>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</si>
  <si>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</si>
  <si>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</si>
  <si>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</si>
  <si>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</si>
  <si>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</si>
  <si>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</si>
  <si>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</si>
  <si>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</si>
  <si>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</si>
  <si>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</si>
  <si>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</si>
  <si>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</si>
  <si>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</si>
  <si>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</si>
  <si>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</si>
  <si>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</si>
  <si>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</si>
  <si>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</si>
  <si>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</si>
  <si>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</si>
  <si>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</si>
  <si>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</si>
  <si>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</si>
  <si>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</si>
  <si>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</si>
  <si>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</si>
  <si>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</si>
  <si>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</si>
  <si>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</si>
  <si>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</si>
  <si>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</si>
  <si>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</si>
  <si>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</si>
  <si>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</si>
  <si>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</si>
  <si>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</si>
  <si>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</si>
  <si>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</si>
  <si>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</si>
  <si>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</si>
  <si>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</si>
  <si>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</si>
  <si>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</si>
  <si>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</si>
  <si>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</si>
  <si>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</si>
  <si>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</si>
  <si>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</si>
  <si>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</si>
  <si>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</si>
  <si>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</si>
  <si>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</si>
  <si>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</si>
  <si>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</si>
  <si>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</si>
  <si>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</si>
  <si>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</si>
  <si>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</si>
  <si>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</si>
  <si>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</si>
  <si>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</si>
  <si>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</si>
  <si>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</si>
  <si>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</si>
  <si>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</si>
  <si>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</si>
  <si>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</si>
  <si>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</si>
  <si>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</si>
  <si>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</si>
  <si>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</si>
  <si>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</si>
  <si>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</si>
  <si>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</si>
  <si>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</si>
  <si>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</si>
  <si>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</si>
  <si>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</si>
  <si>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</si>
  <si>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</si>
  <si>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</si>
  <si>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</si>
  <si>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</si>
  <si>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</si>
  <si>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</si>
  <si>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</si>
  <si>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</si>
  <si>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</si>
  <si>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</si>
  <si>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</si>
  <si>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</si>
  <si>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</si>
  <si>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</si>
  <si>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</si>
  <si>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</si>
  <si>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</si>
  <si>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</si>
  <si>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</si>
  <si>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</si>
  <si>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</si>
  <si>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</si>
  <si>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</si>
  <si>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</si>
  <si>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</si>
  <si>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</si>
  <si>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</si>
  <si>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</si>
  <si>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</si>
  <si>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</si>
  <si>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</si>
  <si>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</si>
  <si>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</si>
  <si>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</si>
  <si>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</si>
  <si>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</si>
  <si>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</si>
  <si>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</si>
  <si>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</si>
  <si>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</si>
  <si>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</si>
  <si>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</si>
  <si>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</si>
  <si>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</si>
  <si>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</si>
  <si>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</si>
  <si>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</si>
  <si>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</si>
  <si>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</si>
  <si>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</si>
  <si>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</si>
  <si>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</si>
  <si>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</si>
  <si>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</si>
  <si>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</si>
  <si>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</si>
  <si>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</si>
  <si>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</si>
  <si>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</si>
  <si>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</si>
  <si>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</si>
  <si>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</si>
  <si>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</si>
  <si>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</si>
  <si>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</si>
  <si>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</si>
  <si>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</si>
  <si>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</si>
  <si>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</si>
  <si>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</si>
  <si>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</si>
  <si>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</si>
  <si>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</si>
  <si>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</si>
  <si>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</si>
  <si>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</si>
  <si>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</si>
  <si>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</si>
  <si>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</si>
  <si>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</si>
  <si>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</si>
  <si>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</si>
  <si>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</si>
  <si>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</si>
  <si>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</si>
  <si>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</si>
  <si>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</si>
  <si>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</si>
  <si>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</si>
  <si>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</si>
  <si>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</si>
  <si>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</si>
  <si>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</si>
  <si>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</si>
  <si>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</si>
  <si>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</si>
  <si>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</si>
  <si>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</si>
  <si>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</si>
  <si>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</si>
  <si>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</si>
  <si>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</si>
  <si>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</si>
  <si>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</si>
  <si>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</si>
  <si>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</si>
  <si>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</si>
  <si>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</si>
  <si>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</si>
  <si>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</si>
  <si>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</si>
  <si>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</si>
  <si>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</si>
  <si>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</si>
  <si>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</si>
  <si>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</si>
  <si>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</si>
  <si>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</si>
  <si>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</si>
  <si>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</si>
  <si>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</si>
  <si>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</si>
  <si>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</si>
  <si>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</si>
  <si>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</si>
  <si>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</si>
  <si>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</si>
  <si>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</si>
  <si>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</si>
  <si>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</si>
  <si>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</si>
  <si>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</si>
  <si>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</si>
  <si>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</si>
  <si>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</si>
  <si>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</si>
  <si>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</si>
  <si>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</si>
  <si>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</si>
  <si>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</si>
  <si>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</si>
  <si>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</si>
  <si>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</si>
  <si>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</si>
  <si>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</si>
  <si>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</si>
  <si>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</si>
  <si>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</si>
  <si>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</si>
  <si>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</si>
  <si>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</si>
  <si>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</si>
  <si>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</si>
  <si>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</si>
  <si>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</si>
  <si>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</si>
  <si>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</si>
  <si>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</si>
  <si>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</si>
  <si>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</si>
  <si>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</si>
  <si>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</si>
  <si>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</si>
  <si>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</si>
  <si>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</si>
  <si>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</si>
  <si>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</si>
  <si>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</si>
  <si>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</si>
  <si>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</si>
  <si>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</si>
  <si>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</si>
  <si>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</si>
  <si>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</si>
  <si>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</si>
  <si>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</si>
  <si>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</si>
  <si>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</si>
  <si>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</si>
  <si>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</si>
  <si>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</si>
  <si>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</si>
  <si>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</si>
  <si>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</si>
  <si>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</si>
  <si>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</si>
  <si>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</si>
  <si>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</si>
  <si>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</si>
  <si>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</si>
  <si>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</si>
  <si>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</si>
  <si>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</si>
  <si>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</si>
  <si>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</si>
  <si>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</si>
  <si>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</si>
  <si>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</si>
  <si>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</si>
  <si>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</si>
  <si>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</si>
  <si>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</si>
  <si>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</si>
  <si>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</si>
  <si>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</si>
  <si>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</si>
  <si>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</si>
  <si>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</si>
  <si>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</si>
  <si>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</si>
  <si>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</si>
  <si>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</si>
  <si>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</si>
  <si>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</si>
  <si>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</si>
  <si>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</si>
  <si>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</si>
  <si>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</si>
  <si>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</si>
  <si>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</si>
  <si>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</si>
  <si>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</si>
  <si>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</si>
  <si>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</si>
  <si>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</si>
  <si>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</si>
  <si>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</si>
  <si>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</si>
  <si>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</si>
  <si>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</si>
  <si>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</si>
  <si>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</si>
  <si>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</si>
  <si>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</si>
  <si>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</si>
  <si>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</si>
  <si>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</si>
  <si>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</si>
  <si>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</si>
  <si>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</si>
  <si>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</si>
  <si>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</si>
  <si>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</si>
  <si>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</si>
  <si>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</si>
  <si>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</si>
  <si>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</si>
  <si>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</si>
  <si>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</si>
  <si>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</si>
  <si>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</si>
  <si>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</si>
  <si>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</si>
  <si>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</si>
  <si>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</si>
  <si>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</si>
  <si>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</si>
  <si>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</si>
  <si>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</si>
  <si>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</si>
  <si>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</si>
  <si>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</si>
  <si>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</si>
  <si>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</si>
  <si>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</si>
  <si>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</si>
  <si>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</si>
  <si>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</si>
  <si>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</si>
  <si>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</si>
  <si>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</si>
  <si>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</si>
  <si>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</si>
  <si>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</si>
  <si>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</si>
  <si>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</si>
  <si>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</si>
  <si>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</si>
  <si>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</si>
  <si>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</si>
  <si>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</si>
  <si>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</si>
  <si>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</si>
  <si>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</si>
  <si>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</si>
  <si>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</si>
  <si>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</si>
  <si>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</si>
  <si>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</si>
  <si>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</si>
  <si>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</si>
  <si>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</si>
  <si>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</si>
  <si>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</si>
  <si>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</si>
  <si>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</si>
  <si>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</si>
  <si>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</si>
  <si>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</si>
  <si>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</si>
  <si>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</si>
  <si>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</si>
  <si>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</si>
  <si>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</si>
  <si>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</si>
  <si>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</si>
  <si>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</si>
  <si>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</si>
  <si>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</si>
  <si>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</si>
  <si>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</si>
  <si>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</si>
  <si>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</si>
  <si>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</si>
  <si>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</si>
  <si>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</si>
  <si>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</si>
  <si>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</si>
  <si>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</si>
  <si>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</si>
  <si>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</si>
  <si>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</si>
  <si>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</si>
  <si>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</si>
  <si>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</si>
  <si>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</si>
  <si>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</si>
  <si>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</si>
  <si>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</si>
  <si>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</si>
  <si>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</si>
  <si>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</si>
  <si>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</si>
  <si>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</si>
  <si>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</si>
  <si>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</si>
  <si>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</si>
  <si>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</si>
  <si>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</si>
  <si>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</si>
  <si>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</si>
  <si>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</si>
  <si>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</si>
  <si>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</si>
  <si>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</si>
  <si>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</si>
  <si>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</si>
  <si>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</si>
  <si>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</si>
  <si>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</si>
  <si>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</si>
  <si>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</si>
  <si>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</si>
  <si>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</si>
  <si>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</si>
  <si>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</si>
  <si>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</si>
  <si>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</si>
  <si>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</si>
  <si>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</si>
  <si>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</si>
  <si>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</si>
  <si>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</si>
  <si>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</si>
  <si>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</si>
  <si>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</si>
  <si>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</si>
  <si>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</si>
  <si>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</si>
  <si>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</si>
  <si>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</si>
  <si>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</si>
  <si>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</si>
  <si>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</si>
  <si>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</si>
  <si>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</si>
  <si>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</si>
  <si>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</si>
  <si>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</si>
  <si>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</si>
  <si>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</si>
  <si>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</si>
  <si>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</si>
  <si>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</si>
  <si>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</si>
  <si>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</si>
  <si>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</si>
  <si>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</si>
  <si>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</si>
  <si>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</si>
  <si>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</si>
  <si>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</si>
  <si>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</si>
  <si>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</si>
  <si>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</si>
  <si>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</si>
  <si>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</si>
  <si>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</si>
  <si>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</si>
  <si>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</si>
  <si>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</si>
  <si>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</si>
  <si>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</si>
  <si>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</si>
  <si>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</si>
  <si>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</si>
  <si>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</si>
  <si>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</si>
  <si>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</si>
  <si>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</si>
  <si>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</si>
  <si>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</si>
  <si>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</si>
  <si>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</si>
  <si>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</si>
  <si>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</si>
  <si>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</si>
  <si>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</si>
  <si>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</si>
  <si>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</si>
  <si>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</si>
  <si>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</si>
  <si>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</si>
  <si>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</si>
  <si>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</si>
  <si>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</si>
  <si>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</si>
  <si>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</si>
  <si>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</si>
  <si>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</si>
  <si>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</si>
  <si>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</si>
  <si>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</si>
  <si>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</si>
  <si>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</si>
  <si>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</si>
  <si>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</si>
  <si>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</si>
  <si>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</si>
  <si>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</si>
  <si>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</si>
  <si>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</si>
  <si>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</si>
  <si>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</si>
  <si>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</si>
  <si>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</si>
  <si>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</si>
  <si>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</si>
  <si>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</si>
  <si>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</si>
  <si>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</si>
  <si>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</si>
  <si>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</si>
  <si>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</si>
  <si>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</si>
  <si>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</si>
  <si>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</si>
  <si>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</si>
  <si>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</si>
  <si>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</si>
  <si>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</si>
  <si>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</si>
  <si>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</si>
  <si>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</si>
  <si>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</si>
  <si>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</si>
  <si>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</si>
  <si>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</si>
  <si>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</si>
  <si>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</si>
  <si>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</si>
  <si>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</si>
  <si>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</si>
  <si>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</si>
  <si>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</si>
  <si>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</si>
  <si>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</si>
  <si>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</si>
  <si>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</si>
  <si>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</si>
  <si>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</si>
  <si>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</si>
  <si>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</si>
  <si>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</si>
  <si>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</si>
  <si>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</si>
  <si>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</si>
  <si>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</si>
  <si>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</si>
  <si>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</si>
  <si>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</si>
  <si>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</si>
  <si>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</si>
  <si>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</si>
  <si>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</si>
  <si>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</si>
  <si>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</si>
  <si>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</si>
  <si>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</si>
  <si>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</si>
  <si>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</si>
  <si>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</si>
  <si>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</si>
  <si>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</si>
  <si>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</si>
  <si>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</si>
  <si>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</si>
  <si>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</si>
  <si>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</si>
  <si>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</si>
  <si>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</si>
  <si>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</si>
  <si>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</si>
  <si>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</si>
  <si>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</si>
  <si>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</si>
  <si>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</si>
  <si>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</si>
  <si>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</si>
  <si>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</si>
  <si>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</si>
  <si>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</si>
  <si>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</si>
  <si>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</si>
  <si>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</si>
  <si>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</si>
  <si>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</si>
  <si>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</si>
  <si>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</si>
  <si>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</si>
  <si>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</si>
  <si>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</si>
  <si>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</si>
  <si>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</si>
  <si>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</si>
  <si>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</si>
  <si>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</si>
  <si>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</si>
  <si>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</si>
  <si>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</si>
  <si>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</si>
  <si>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</si>
  <si>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</si>
  <si>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</si>
  <si>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</si>
  <si>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</si>
  <si>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</si>
  <si>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</si>
  <si>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</si>
  <si>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</si>
  <si>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</si>
  <si>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</si>
  <si>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</si>
  <si>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</si>
  <si>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</si>
  <si>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</si>
  <si>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</si>
  <si>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</si>
  <si>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</si>
  <si>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</si>
  <si>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</si>
  <si>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</si>
  <si>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</si>
  <si>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</si>
  <si>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</si>
  <si>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</si>
  <si>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</si>
  <si>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</si>
  <si>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</si>
  <si>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</si>
  <si>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</si>
  <si>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</si>
  <si>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</si>
  <si>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</si>
  <si>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</si>
  <si>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</si>
  <si>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</si>
  <si>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</si>
  <si>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</si>
  <si>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</si>
  <si>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</si>
  <si>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</si>
  <si>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</si>
  <si>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</si>
  <si>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</si>
  <si>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</si>
  <si>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</si>
  <si>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</si>
  <si>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</si>
  <si>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</si>
  <si>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</si>
  <si>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</si>
  <si>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</si>
  <si>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</si>
  <si>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</si>
  <si>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</si>
  <si>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</si>
  <si>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</si>
  <si>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</si>
  <si>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</si>
  <si>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</si>
  <si>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</si>
  <si>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</si>
  <si>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</si>
  <si>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</si>
  <si>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</si>
  <si>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</si>
  <si>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</si>
  <si>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</si>
  <si>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</si>
  <si>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</si>
  <si>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</si>
  <si>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</si>
  <si>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</si>
  <si>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</si>
  <si>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</si>
  <si>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</si>
  <si>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</si>
  <si>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</si>
  <si>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</si>
  <si>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</si>
  <si>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</si>
  <si>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</si>
  <si>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</si>
  <si>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</si>
  <si>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</si>
  <si>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</si>
  <si>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</si>
  <si>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</si>
  <si>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</si>
  <si>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</si>
  <si>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</si>
  <si>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</si>
  <si>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</si>
  <si>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</si>
  <si>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</si>
  <si>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</si>
  <si>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</si>
  <si>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</si>
  <si>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</si>
  <si>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</si>
  <si>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</si>
  <si>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</si>
  <si>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</si>
  <si>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</si>
  <si>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</si>
  <si>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</si>
  <si>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</si>
  <si>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</si>
  <si>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</si>
  <si>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</si>
  <si>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</si>
  <si>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</si>
  <si>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</si>
  <si>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</si>
  <si>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</si>
  <si>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</si>
  <si>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</si>
  <si>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</si>
  <si>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</si>
  <si>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</si>
  <si>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</si>
  <si>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</si>
  <si>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</si>
  <si>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</si>
  <si>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</si>
  <si>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</si>
  <si>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</si>
  <si>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</si>
  <si>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</si>
  <si>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</si>
  <si>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</si>
  <si>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</si>
  <si>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</si>
  <si>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</si>
  <si>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</si>
  <si>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</si>
  <si>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</si>
  <si>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</si>
  <si>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</si>
  <si>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</si>
  <si>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</si>
  <si>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</si>
  <si>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</si>
  <si>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</si>
  <si>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</si>
  <si>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</si>
  <si>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</si>
  <si>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</si>
  <si>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</si>
  <si>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</si>
  <si>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</si>
  <si>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</si>
  <si>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</si>
  <si>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</si>
  <si>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</si>
  <si>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</si>
  <si>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</si>
  <si>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</si>
  <si>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</si>
  <si>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</si>
  <si>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</si>
  <si>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</si>
  <si>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</si>
  <si>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</si>
  <si>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</si>
  <si>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</si>
  <si>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</si>
  <si>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</si>
  <si>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</si>
  <si>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</si>
  <si>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</si>
  <si>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</si>
  <si>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</si>
  <si>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</si>
  <si>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</si>
  <si>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</si>
  <si>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</si>
  <si>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</si>
  <si>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</si>
  <si>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</si>
  <si>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</si>
  <si>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</si>
  <si>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</si>
  <si>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</si>
  <si>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</si>
  <si>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</si>
  <si>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</si>
  <si>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</si>
  <si>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</si>
  <si>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</si>
  <si>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</si>
  <si>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</si>
  <si>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</si>
  <si>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</si>
  <si>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</si>
  <si>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</si>
  <si>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</si>
  <si>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</si>
  <si>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</si>
  <si>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</si>
  <si>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</si>
  <si>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</si>
  <si>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</si>
  <si>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</si>
  <si>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</si>
  <si>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</si>
  <si>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</si>
  <si>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</si>
  <si>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</si>
  <si>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</si>
  <si>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</si>
  <si>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</si>
  <si>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</si>
  <si>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</si>
  <si>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</si>
  <si>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</si>
  <si>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</si>
  <si>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</si>
  <si>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</si>
  <si>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</si>
  <si>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</si>
  <si>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</si>
  <si>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</si>
  <si>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</si>
  <si>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</si>
  <si>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</si>
  <si>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</si>
  <si>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</si>
  <si>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</si>
  <si>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</si>
  <si>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</si>
  <si>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</si>
  <si>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</si>
  <si>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</si>
  <si>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</si>
  <si>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</si>
  <si>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</si>
  <si>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</si>
  <si>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</si>
  <si>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</si>
  <si>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</si>
  <si>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</si>
  <si>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</si>
  <si>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</si>
  <si>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</si>
  <si>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</si>
  <si>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</si>
  <si>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</si>
  <si>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</si>
  <si>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</si>
  <si>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</si>
  <si>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</si>
  <si>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</si>
  <si>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</si>
  <si>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</si>
  <si>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</si>
  <si>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</si>
  <si>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</si>
  <si>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</si>
  <si>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</si>
  <si>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</si>
  <si>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</si>
  <si>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</si>
  <si>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</si>
  <si>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</si>
  <si>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</si>
  <si>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</si>
  <si>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</si>
  <si>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</si>
  <si>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</si>
  <si>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</si>
  <si>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</si>
  <si>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</si>
  <si>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</si>
  <si>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</si>
  <si>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</si>
  <si>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</si>
  <si>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</si>
  <si>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</si>
  <si>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</si>
  <si>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</si>
  <si>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</si>
  <si>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</si>
  <si>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</si>
  <si>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</si>
  <si>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</si>
  <si>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</si>
  <si>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</si>
  <si>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</si>
  <si>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</si>
  <si>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</si>
  <si>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</si>
  <si>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</si>
  <si>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</si>
  <si>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</si>
  <si>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</si>
  <si>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</si>
  <si>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</si>
  <si>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</si>
  <si>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</si>
  <si>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</si>
  <si>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</si>
  <si>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</si>
  <si>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</si>
  <si>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</si>
  <si>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</si>
  <si>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</si>
  <si>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</si>
  <si>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</si>
  <si>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</si>
  <si>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</si>
  <si>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</si>
  <si>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</si>
  <si>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</si>
  <si>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</si>
  <si>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</si>
  <si>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</si>
  <si>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</si>
  <si>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</si>
  <si>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</si>
  <si>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</si>
  <si>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</si>
  <si>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</si>
  <si>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</si>
  <si>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</si>
  <si>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</si>
  <si>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</si>
  <si>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</si>
  <si>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</si>
  <si>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</si>
  <si>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</si>
  <si>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</si>
  <si>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</si>
  <si>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</si>
  <si>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</si>
  <si>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</si>
  <si>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</si>
  <si>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</si>
  <si>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</si>
  <si>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</si>
  <si>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</si>
  <si>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</si>
  <si>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</si>
  <si>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</si>
  <si>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</si>
  <si>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</si>
  <si>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</si>
  <si>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</si>
  <si>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</si>
  <si>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</si>
  <si>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</si>
  <si>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</si>
  <si>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</si>
  <si>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</si>
  <si>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</si>
  <si>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</si>
  <si>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</si>
  <si>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</si>
  <si>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</si>
  <si>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</si>
  <si>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</si>
  <si>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</si>
  <si>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</si>
  <si>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</si>
  <si>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</si>
  <si>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</si>
  <si>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</si>
  <si>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</si>
  <si>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</si>
  <si>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</si>
  <si>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</si>
  <si>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</si>
  <si>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</si>
  <si>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</si>
  <si>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</si>
  <si>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</si>
  <si>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</si>
  <si>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</si>
  <si>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</si>
  <si>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</si>
  <si>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</si>
  <si>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</si>
  <si>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</si>
  <si>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</si>
  <si>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</si>
  <si>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</si>
  <si>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</si>
  <si>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</si>
  <si>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</si>
  <si>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</si>
  <si>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</si>
  <si>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</si>
  <si>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</si>
  <si>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</si>
  <si>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</si>
  <si>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</si>
  <si>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</si>
  <si>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</si>
  <si>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</si>
  <si>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</si>
  <si>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</si>
  <si>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</si>
  <si>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</si>
  <si>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</si>
  <si>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</si>
  <si>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</si>
  <si>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</si>
  <si>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</si>
  <si>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</si>
  <si>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</si>
  <si>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</si>
  <si>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</si>
  <si>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</si>
  <si>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</si>
  <si>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</si>
  <si>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</si>
  <si>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</si>
  <si>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</si>
  <si>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</si>
  <si>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</si>
  <si>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</si>
  <si>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</si>
  <si>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</si>
  <si>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</si>
  <si>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</si>
  <si>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</si>
  <si>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</si>
  <si>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</si>
  <si>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</si>
  <si>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</si>
  <si>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</si>
  <si>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</si>
  <si>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</si>
  <si>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</si>
  <si>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</si>
  <si>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</si>
  <si>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</si>
  <si>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</si>
  <si>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</si>
  <si>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</si>
  <si>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</si>
  <si>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</si>
  <si>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</si>
  <si>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</si>
  <si>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</si>
  <si>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</si>
  <si>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</si>
  <si>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</si>
  <si>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</si>
  <si>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</si>
  <si>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</si>
  <si>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</si>
  <si>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</si>
  <si>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</si>
  <si>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</si>
  <si>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</si>
  <si>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</si>
  <si>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</si>
  <si>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</si>
  <si>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</si>
  <si>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</si>
  <si>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</si>
  <si>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</si>
  <si>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</si>
  <si>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</si>
  <si>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</si>
  <si>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</si>
  <si>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</si>
  <si>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</si>
  <si>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</si>
  <si>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</si>
  <si>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</si>
  <si>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</si>
  <si>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</si>
  <si>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</si>
  <si>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</si>
  <si>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</si>
  <si>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</si>
  <si>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</si>
  <si>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</si>
  <si>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</si>
  <si>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</si>
  <si>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</si>
  <si>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</si>
  <si>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</si>
  <si>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</si>
  <si>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</si>
  <si>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</si>
  <si>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</si>
  <si>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</si>
  <si>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</si>
  <si>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</si>
  <si>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</si>
  <si>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</si>
  <si>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</si>
  <si>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</si>
  <si>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</si>
  <si>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</si>
  <si>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</si>
  <si>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</si>
  <si>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</si>
  <si>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</si>
  <si>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</si>
  <si>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</si>
  <si>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</si>
  <si>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</si>
  <si>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</si>
  <si>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</si>
  <si>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</si>
  <si>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</si>
  <si>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</si>
  <si>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</si>
  <si>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</si>
  <si>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</si>
  <si>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</si>
  <si>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</si>
  <si>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</si>
  <si>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</si>
  <si>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</si>
  <si>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</si>
  <si>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</si>
  <si>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</si>
  <si>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</si>
  <si>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</si>
  <si>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</si>
  <si>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</si>
  <si>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</si>
  <si>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</si>
  <si>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</si>
  <si>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</si>
  <si>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</si>
  <si>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</si>
  <si>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</si>
  <si>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</si>
  <si>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</si>
  <si>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</si>
  <si>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</si>
  <si>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</si>
  <si>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</si>
  <si>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</si>
  <si>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</si>
  <si>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</si>
  <si>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</si>
  <si>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</si>
  <si>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</si>
  <si>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</si>
  <si>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</si>
  <si>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</si>
  <si>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</si>
  <si>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</si>
  <si>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</si>
  <si>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</si>
  <si>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</si>
  <si>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</si>
  <si>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</si>
  <si>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</si>
  <si>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</si>
  <si>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</si>
  <si>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</si>
  <si>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</si>
  <si>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</si>
  <si>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</si>
  <si>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</si>
  <si>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</si>
  <si>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</si>
  <si>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</si>
  <si>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</si>
  <si>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</si>
  <si>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</si>
  <si>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</si>
  <si>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</si>
  <si>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</si>
  <si>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</si>
  <si>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</si>
  <si>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</si>
  <si>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</si>
  <si>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</si>
  <si>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</si>
  <si>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</si>
  <si>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</si>
  <si>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</si>
  <si>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</si>
  <si>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</si>
  <si>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</si>
  <si>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</si>
  <si>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</si>
  <si>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</si>
  <si>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</si>
  <si>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</si>
  <si>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</si>
  <si>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</si>
  <si>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</si>
  <si>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</si>
  <si>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</si>
  <si>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</si>
  <si>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</si>
  <si>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</si>
  <si>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</si>
  <si>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</si>
  <si>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</si>
  <si>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</si>
  <si>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</si>
  <si>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</si>
  <si>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</si>
  <si>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</si>
  <si>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</si>
  <si>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</si>
  <si>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</si>
  <si>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</si>
  <si>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</si>
  <si>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</si>
  <si>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</si>
  <si>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</si>
  <si>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</si>
  <si>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</si>
  <si>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</si>
  <si>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</si>
  <si>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</si>
  <si>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</si>
  <si>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</si>
  <si>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</si>
  <si>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</si>
  <si>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</si>
  <si>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</si>
  <si>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</si>
  <si>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</si>
  <si>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</si>
  <si>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</si>
  <si>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</si>
  <si>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</si>
  <si>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</si>
  <si>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</si>
  <si>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</si>
  <si>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</si>
  <si>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</si>
  <si>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</si>
  <si>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</si>
  <si>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</si>
  <si>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</si>
  <si>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</si>
  <si>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</si>
  <si>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</si>
  <si>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</si>
  <si>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</si>
  <si>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</si>
  <si>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</si>
  <si>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</si>
  <si>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</si>
  <si>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</si>
  <si>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</si>
  <si>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</si>
  <si>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</si>
  <si>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</si>
  <si>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</si>
  <si>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</si>
  <si>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</si>
  <si>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</si>
  <si>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</si>
  <si>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</si>
  <si>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</si>
  <si>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</si>
  <si>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</si>
  <si>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</si>
  <si>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</si>
  <si>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</si>
  <si>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</si>
  <si>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</si>
  <si>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</si>
  <si>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</si>
  <si>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</si>
  <si>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</si>
  <si>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</si>
  <si>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</si>
  <si>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</si>
  <si>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</si>
  <si>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</si>
  <si>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</si>
  <si>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</si>
  <si>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</si>
  <si>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</si>
  <si>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</si>
  <si>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</si>
  <si>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</si>
  <si>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</si>
  <si>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</si>
  <si>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</si>
  <si>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</si>
  <si>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</si>
  <si>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</si>
  <si>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</si>
  <si>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</si>
  <si>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</si>
  <si>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</si>
  <si>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</si>
  <si>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</si>
  <si>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</si>
  <si>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</si>
  <si>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</si>
  <si>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</si>
  <si>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</si>
  <si>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</si>
  <si>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</si>
  <si>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</si>
  <si>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</si>
  <si>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</si>
  <si>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</si>
  <si>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</si>
  <si>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</si>
  <si>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</si>
  <si>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</si>
  <si>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</si>
  <si>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</si>
  <si>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</si>
  <si>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</si>
  <si>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</si>
  <si>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</si>
  <si>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</si>
  <si>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</si>
  <si>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</si>
  <si>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</si>
  <si>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</si>
  <si>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</si>
  <si>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</si>
  <si>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</si>
  <si>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</si>
  <si>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</si>
  <si>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</si>
  <si>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</si>
  <si>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</si>
  <si>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</si>
  <si>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</si>
  <si>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</si>
  <si>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</si>
  <si>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</si>
  <si>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</si>
  <si>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</si>
  <si>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</si>
  <si>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</si>
  <si>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</si>
  <si>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</si>
  <si>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</si>
  <si>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</si>
  <si>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</si>
  <si>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</si>
  <si>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</si>
  <si>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</si>
  <si>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</si>
  <si>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</si>
  <si>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</si>
  <si>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</si>
  <si>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</si>
  <si>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</si>
  <si>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</si>
  <si>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</si>
  <si>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</si>
  <si>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</si>
  <si>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</si>
  <si>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</si>
  <si>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</si>
  <si>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</si>
  <si>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</si>
  <si>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</si>
  <si>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</si>
  <si>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</si>
  <si>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</si>
  <si>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</si>
  <si>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</si>
  <si>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</si>
  <si>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</si>
  <si>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</si>
  <si>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</si>
  <si>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</si>
  <si>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</si>
  <si>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</si>
  <si>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</si>
  <si>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</si>
  <si>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</si>
  <si>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</si>
  <si>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</si>
  <si>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</si>
  <si>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</si>
  <si>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</si>
  <si>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</si>
  <si>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</si>
  <si>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</si>
  <si>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</si>
  <si>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</si>
  <si>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</si>
  <si>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</si>
  <si>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</si>
  <si>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</si>
  <si>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</si>
  <si>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</si>
  <si>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</si>
  <si>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</si>
  <si>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</si>
  <si>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</si>
  <si>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</si>
  <si>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</si>
  <si>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</si>
  <si>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</si>
  <si>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</si>
  <si>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</si>
  <si>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</si>
  <si>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</si>
  <si>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</si>
  <si>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</si>
  <si>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</si>
  <si>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</si>
  <si>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</si>
  <si>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</si>
  <si>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</si>
  <si>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</si>
  <si>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</si>
  <si>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</si>
  <si>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</si>
  <si>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</si>
  <si>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</si>
  <si>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</si>
  <si>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</si>
  <si>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</si>
  <si>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</si>
  <si>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</si>
  <si>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</si>
  <si>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</si>
  <si>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</si>
  <si>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</si>
  <si>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</si>
  <si>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</si>
  <si>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</si>
  <si>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</si>
  <si>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</si>
  <si>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</si>
  <si>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</si>
  <si>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</si>
  <si>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</si>
  <si>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</si>
  <si>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</si>
  <si>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</si>
  <si>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</si>
  <si>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</si>
  <si>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</si>
  <si>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</si>
  <si>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</si>
  <si>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</si>
  <si>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</si>
  <si>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</si>
  <si>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</si>
  <si>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</si>
  <si>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</si>
  <si>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</si>
  <si>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</si>
  <si>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</si>
  <si>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</si>
  <si>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</si>
  <si>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</si>
  <si>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</si>
  <si>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</si>
  <si>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</si>
  <si>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</si>
  <si>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</si>
  <si>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</si>
  <si>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</si>
  <si>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</si>
  <si>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</si>
  <si>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</si>
  <si>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</si>
  <si>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</si>
  <si>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</si>
  <si>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</si>
  <si>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</si>
  <si>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</si>
  <si>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</si>
  <si>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</si>
  <si>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</si>
  <si>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</si>
  <si>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</si>
  <si>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</si>
  <si>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</si>
  <si>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</si>
  <si>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</si>
  <si>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</si>
  <si>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</si>
  <si>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</si>
  <si>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</si>
  <si>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</si>
  <si>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</si>
  <si>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</si>
  <si>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</si>
  <si>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</si>
  <si>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</si>
  <si>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</si>
  <si>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</si>
  <si>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</si>
  <si>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</si>
  <si>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</si>
  <si>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</si>
  <si>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</si>
  <si>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</si>
  <si>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</si>
  <si>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</si>
  <si>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</si>
  <si>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</si>
  <si>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</si>
  <si>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</si>
  <si>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</si>
  <si>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</si>
  <si>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</si>
  <si>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</si>
  <si>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</si>
  <si>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</si>
  <si>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</si>
  <si>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</si>
  <si>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</si>
  <si>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</si>
  <si>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</si>
  <si>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</si>
  <si>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</si>
  <si>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</si>
  <si>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</si>
  <si>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</si>
  <si>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</si>
  <si>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</si>
  <si>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</si>
  <si>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</si>
  <si>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</si>
  <si>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</si>
  <si>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</si>
  <si>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</si>
  <si>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</si>
  <si>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</si>
  <si>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</si>
  <si>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</si>
  <si>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</si>
  <si>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</si>
  <si>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</si>
  <si>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</si>
  <si>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</si>
  <si>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</si>
  <si>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</si>
  <si>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</si>
  <si>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</si>
  <si>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</si>
  <si>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</si>
  <si>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</si>
  <si>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</si>
  <si>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</si>
  <si>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</si>
  <si>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</si>
  <si>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</si>
  <si>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</si>
  <si>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</si>
  <si>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</si>
  <si>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</si>
  <si>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</si>
  <si>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</si>
  <si>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</si>
  <si>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</si>
  <si>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</si>
  <si>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</si>
  <si>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</si>
  <si>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</si>
  <si>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</si>
  <si>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</si>
  <si>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</si>
  <si>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</si>
  <si>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</si>
  <si>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</si>
  <si>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</si>
  <si>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</si>
  <si>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</si>
  <si>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</si>
  <si>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</si>
  <si>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</si>
  <si>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</si>
  <si>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</si>
  <si>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</si>
  <si>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</si>
  <si>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</si>
  <si>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</si>
  <si>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</si>
  <si>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</si>
  <si>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</si>
  <si>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</si>
  <si>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</si>
  <si>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</si>
  <si>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</si>
  <si>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</si>
  <si>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</si>
  <si>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</si>
  <si>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</si>
  <si>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</si>
  <si>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</si>
  <si>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</si>
  <si>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</si>
  <si>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</si>
  <si>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</si>
  <si>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</si>
  <si>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</si>
  <si>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</si>
  <si>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</si>
  <si>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</si>
  <si>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</si>
  <si>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</si>
  <si>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</si>
  <si>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</si>
  <si>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</si>
  <si>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</si>
  <si>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</si>
  <si>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</si>
  <si>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</si>
  <si>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</si>
  <si>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</si>
  <si>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</si>
  <si>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</si>
  <si>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</si>
  <si>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</si>
  <si>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</si>
  <si>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</si>
  <si>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</si>
  <si>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</si>
  <si>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</si>
  <si>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</si>
  <si>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</si>
  <si>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</si>
  <si>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</si>
  <si>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</si>
  <si>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</si>
  <si>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</si>
  <si>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</si>
  <si>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</si>
  <si>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</si>
  <si>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</si>
  <si>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</si>
  <si>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</si>
  <si>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</si>
  <si>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</si>
  <si>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</si>
  <si>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</si>
  <si>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</si>
  <si>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</si>
  <si>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</si>
  <si>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</si>
  <si>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</si>
  <si>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</si>
  <si>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</si>
  <si>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</si>
  <si>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</si>
  <si>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</si>
  <si>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</si>
  <si>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</si>
  <si>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</si>
  <si>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</si>
  <si>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</si>
  <si>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</si>
  <si>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</si>
  <si>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</si>
  <si>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</si>
  <si>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</si>
  <si>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</si>
  <si>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</si>
  <si>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</si>
  <si>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</si>
  <si>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</si>
  <si>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</si>
  <si>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</si>
  <si>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</si>
  <si>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</si>
  <si>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</si>
  <si>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</si>
  <si>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</si>
  <si>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</si>
  <si>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</si>
  <si>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</si>
  <si>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</si>
  <si>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</si>
  <si>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</si>
  <si>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</si>
  <si>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</si>
  <si>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</si>
  <si>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</si>
  <si>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</si>
  <si>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</si>
  <si>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</si>
  <si>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</si>
  <si>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</si>
  <si>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</si>
  <si>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</si>
  <si>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</si>
  <si>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</si>
  <si>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</si>
  <si>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</si>
  <si>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</si>
  <si>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</si>
  <si>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</si>
  <si>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</si>
  <si>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</si>
  <si>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</si>
  <si>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</si>
  <si>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</si>
  <si>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</si>
  <si>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</si>
  <si>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</si>
  <si>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</si>
  <si>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</si>
  <si>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</si>
  <si>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</si>
  <si>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</si>
  <si>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</si>
  <si>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</si>
  <si>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</si>
  <si>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</si>
  <si>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</si>
  <si>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</si>
  <si>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</si>
  <si>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</si>
  <si>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</si>
  <si>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</si>
  <si>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</si>
  <si>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</si>
  <si>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</si>
  <si>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</si>
  <si>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</si>
  <si>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</si>
  <si>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</si>
  <si>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</si>
  <si>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</si>
  <si>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</si>
  <si>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</si>
  <si>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</si>
  <si>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</si>
  <si>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</si>
  <si>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</si>
  <si>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</si>
  <si>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</si>
  <si>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</si>
  <si>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</si>
  <si>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</si>
  <si>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</si>
  <si>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</si>
  <si>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</si>
  <si>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</si>
  <si>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</si>
  <si>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</si>
  <si>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</si>
  <si>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</si>
  <si>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</si>
  <si>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</si>
  <si>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</si>
  <si>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</si>
  <si>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</si>
  <si>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</si>
  <si>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</si>
  <si>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</si>
  <si>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</si>
  <si>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</si>
  <si>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</si>
  <si>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</si>
  <si>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</si>
  <si>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</si>
  <si>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</si>
  <si>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</si>
  <si>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</si>
  <si>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</si>
  <si>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</si>
  <si>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</si>
  <si>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</si>
  <si>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</si>
  <si>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</si>
  <si>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</si>
  <si>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</si>
  <si>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</si>
  <si>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</si>
  <si>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</si>
  <si>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</si>
  <si>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</si>
  <si>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</si>
  <si>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</si>
  <si>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</si>
  <si>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</si>
  <si>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</si>
  <si>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</si>
  <si>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</si>
  <si>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</si>
  <si>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</si>
  <si>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</si>
  <si>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</si>
  <si>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</si>
  <si>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</si>
  <si>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</si>
  <si>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</si>
  <si>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</si>
  <si>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</si>
  <si>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</si>
  <si>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</si>
  <si>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</si>
  <si>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</si>
  <si>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</si>
  <si>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</si>
  <si>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</si>
  <si>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</si>
  <si>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</si>
  <si>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</si>
  <si>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</si>
  <si>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</si>
  <si>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</si>
  <si>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</si>
  <si>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</si>
  <si>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</si>
  <si>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</si>
  <si>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</si>
  <si>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</si>
  <si>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</si>
  <si>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</si>
  <si>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</si>
  <si>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</si>
  <si>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</si>
  <si>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</si>
  <si>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</si>
  <si>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</si>
  <si>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</si>
  <si>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</si>
  <si>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</si>
  <si>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</si>
  <si>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</si>
  <si>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</si>
  <si>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</si>
  <si>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</si>
  <si>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</si>
  <si>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</si>
  <si>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</si>
  <si>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</si>
  <si>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</si>
  <si>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</si>
  <si>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</si>
  <si>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</si>
  <si>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</si>
  <si>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</si>
  <si>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</si>
  <si>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</si>
  <si>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</si>
  <si>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</si>
  <si>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</si>
  <si>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</si>
  <si>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</si>
  <si>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</si>
  <si>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</si>
  <si>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</si>
  <si>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</si>
  <si>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</si>
  <si>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</si>
  <si>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</si>
  <si>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</si>
  <si>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</si>
  <si>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</si>
  <si>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</si>
  <si>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</si>
  <si>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</si>
  <si>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</si>
  <si>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</si>
  <si>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</si>
  <si>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</si>
  <si>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</si>
  <si>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</si>
  <si>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</si>
  <si>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</si>
  <si>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</si>
  <si>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</si>
  <si>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</si>
  <si>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</si>
  <si>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</si>
  <si>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</si>
  <si>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</si>
  <si>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</si>
  <si>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</si>
  <si>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</si>
  <si>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</si>
  <si>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</si>
  <si>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</si>
  <si>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</si>
  <si>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</si>
  <si>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</si>
  <si>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</si>
  <si>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</si>
  <si>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</si>
  <si>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</si>
  <si>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</si>
  <si>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</si>
  <si>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</si>
  <si>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</si>
  <si>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</si>
  <si>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</si>
  <si>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</si>
  <si>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</si>
  <si>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</si>
  <si>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</si>
  <si>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</si>
  <si>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</si>
  <si>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</si>
  <si>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</si>
  <si>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</si>
  <si>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</si>
  <si>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</si>
  <si>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</si>
  <si>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</si>
  <si>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</si>
  <si>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</si>
  <si>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</si>
  <si>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</si>
  <si>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</si>
  <si>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</si>
  <si>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</si>
  <si>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</si>
  <si>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</si>
  <si>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</si>
  <si>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</si>
  <si>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</si>
  <si>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</si>
  <si>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</si>
  <si>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</si>
  <si>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</si>
  <si>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</si>
  <si>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</si>
  <si>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</si>
  <si>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</si>
  <si>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</si>
  <si>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</si>
  <si>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</si>
  <si>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</si>
  <si>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</si>
  <si>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</si>
  <si>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</si>
  <si>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</si>
  <si>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</si>
  <si>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</si>
  <si>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</si>
  <si>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</si>
  <si>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</si>
  <si>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</si>
  <si>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</si>
  <si>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</si>
  <si>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</si>
  <si>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</si>
  <si>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</si>
  <si>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</si>
  <si>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</si>
  <si>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</si>
  <si>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</si>
  <si>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</si>
  <si>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</si>
  <si>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</si>
  <si>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</si>
  <si>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</si>
  <si>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</si>
  <si>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</si>
  <si>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</si>
  <si>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</si>
  <si>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</si>
  <si>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</si>
  <si>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</si>
  <si>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</si>
  <si>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</si>
  <si>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</si>
  <si>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</si>
  <si>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</si>
  <si>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</si>
  <si>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</si>
  <si>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</si>
  <si>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</si>
  <si>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</si>
  <si>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</si>
  <si>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</si>
  <si>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</si>
  <si>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</si>
  <si>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</si>
  <si>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</si>
  <si>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</si>
  <si>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</si>
  <si>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</si>
  <si>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</si>
  <si>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</si>
  <si>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</si>
  <si>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</si>
  <si>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</si>
  <si>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</si>
  <si>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</si>
  <si>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</si>
  <si>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</si>
  <si>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</si>
  <si>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</si>
  <si>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</si>
  <si>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</si>
  <si>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</si>
  <si>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</si>
  <si>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</si>
  <si>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</si>
  <si>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</si>
  <si>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</si>
  <si>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</si>
  <si>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</si>
  <si>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</si>
  <si>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</si>
  <si>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</si>
  <si>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</si>
  <si>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</si>
  <si>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</si>
  <si>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</si>
  <si>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</si>
  <si>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</si>
  <si>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</si>
  <si>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</si>
  <si>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</si>
  <si>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</si>
  <si>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</si>
  <si>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</si>
  <si>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</si>
  <si>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</si>
  <si>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</si>
  <si>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</si>
  <si>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</si>
  <si>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</si>
  <si>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</si>
  <si>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</si>
  <si>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</si>
  <si>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</si>
  <si>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</si>
  <si>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</si>
  <si>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</si>
  <si>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</si>
  <si>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</si>
  <si>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</si>
  <si>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</si>
  <si>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</si>
  <si>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</si>
  <si>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</si>
  <si>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</si>
  <si>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</si>
  <si>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</si>
  <si>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</si>
  <si>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</si>
  <si>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</si>
  <si>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</si>
  <si>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</si>
  <si>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</si>
  <si>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</si>
  <si>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</si>
  <si>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</si>
  <si>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</si>
  <si>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</si>
  <si>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</si>
  <si>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</si>
  <si>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</si>
  <si>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</si>
  <si>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</si>
  <si>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</si>
  <si>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</si>
  <si>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</si>
  <si>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</si>
  <si>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</si>
  <si>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</si>
  <si>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</si>
  <si>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</si>
  <si>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</si>
  <si>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</si>
  <si>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</si>
  <si>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</si>
  <si>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</si>
  <si>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</si>
  <si>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</si>
  <si>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</si>
  <si>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</si>
  <si>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</si>
  <si>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</si>
  <si>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</si>
  <si>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</si>
  <si>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</si>
  <si>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</si>
  <si>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</si>
  <si>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</si>
  <si>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</si>
  <si>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</si>
  <si>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</si>
  <si>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</si>
  <si>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</si>
  <si>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</si>
  <si>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</si>
  <si>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</si>
  <si>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</si>
  <si>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</si>
  <si>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</si>
  <si>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</si>
  <si>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</si>
  <si>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</si>
  <si>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</si>
  <si>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</si>
  <si>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</si>
  <si>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</si>
  <si>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</si>
  <si>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</si>
  <si>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</si>
  <si>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</si>
  <si>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</si>
  <si>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</si>
  <si>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</si>
  <si>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</si>
  <si>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</si>
  <si>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</si>
  <si>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</si>
  <si>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</si>
  <si>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</si>
  <si>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</si>
  <si>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</si>
  <si>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</si>
  <si>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</si>
  <si>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</si>
  <si>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</si>
  <si>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</si>
  <si>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</si>
  <si>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</si>
  <si>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</si>
  <si>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</si>
  <si>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</si>
  <si>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</si>
  <si>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</si>
  <si>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</si>
  <si>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</si>
  <si>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</si>
  <si>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</si>
  <si>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</si>
  <si>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</si>
  <si>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</si>
  <si>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</si>
  <si>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</si>
  <si>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</si>
  <si>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</si>
  <si>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</si>
  <si>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</si>
  <si>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</si>
  <si>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</si>
  <si>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</si>
  <si>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</si>
  <si>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</si>
  <si>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</si>
  <si>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</si>
  <si>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</si>
  <si>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</si>
  <si>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</si>
  <si>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</si>
  <si>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</si>
  <si>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</si>
  <si>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</si>
  <si>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</si>
  <si>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</si>
  <si>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</si>
  <si>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</si>
  <si>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</si>
  <si>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</si>
  <si>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</si>
  <si>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</si>
  <si>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</si>
  <si>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</si>
  <si>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</si>
  <si>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</si>
  <si>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</si>
  <si>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</si>
  <si>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</si>
  <si>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</si>
  <si>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</si>
  <si>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</si>
  <si>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</si>
  <si>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</si>
  <si>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</si>
  <si>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</si>
  <si>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</si>
  <si>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</si>
  <si>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</si>
  <si>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</si>
  <si>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</si>
  <si>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</si>
  <si>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</si>
  <si>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</si>
  <si>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</si>
  <si>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</si>
  <si>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</si>
  <si>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</si>
  <si>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</si>
  <si>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</si>
  <si>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</si>
  <si>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</si>
  <si>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</si>
  <si>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</si>
  <si>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</si>
  <si>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</si>
  <si>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</si>
  <si>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</si>
  <si>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</si>
  <si>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</si>
  <si>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</si>
  <si>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</si>
  <si>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</si>
  <si>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</si>
  <si>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</si>
  <si>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</si>
  <si>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</si>
  <si>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</si>
  <si>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</si>
  <si>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</si>
  <si>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</si>
  <si>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</si>
  <si>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</si>
  <si>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</si>
  <si>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</si>
  <si>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</si>
  <si>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</si>
  <si>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</si>
  <si>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</si>
  <si>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</si>
  <si>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</si>
  <si>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</si>
  <si>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</si>
  <si>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</si>
  <si>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</si>
  <si>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</si>
  <si>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</si>
  <si>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</si>
  <si>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</si>
  <si>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</si>
  <si>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</si>
  <si>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</si>
  <si>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</si>
  <si>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</si>
  <si>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</si>
  <si>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</si>
  <si>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</si>
  <si>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</si>
  <si>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</si>
  <si>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</si>
  <si>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</si>
  <si>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</si>
  <si>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</si>
  <si>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</si>
  <si>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</si>
  <si>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</si>
  <si>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</si>
  <si>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</si>
  <si>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</si>
  <si>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</si>
  <si>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</si>
  <si>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</si>
  <si>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</si>
  <si>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</si>
  <si>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</si>
  <si>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</si>
  <si>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</si>
  <si>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</si>
  <si>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</si>
  <si>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</si>
  <si>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</si>
  <si>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</si>
  <si>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</si>
  <si>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</si>
  <si>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</si>
  <si>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</si>
  <si>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</si>
  <si>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</si>
  <si>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</si>
  <si>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</si>
  <si>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</si>
  <si>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</si>
  <si>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</si>
  <si>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</si>
  <si>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</si>
  <si>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</si>
  <si>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</si>
  <si>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</si>
  <si>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</si>
  <si>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</si>
  <si>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</si>
  <si>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</si>
  <si>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</si>
  <si>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</si>
  <si>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</si>
  <si>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</si>
  <si>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</si>
  <si>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</si>
  <si>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</si>
  <si>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</si>
  <si>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</si>
  <si>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</si>
  <si>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</si>
  <si>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</si>
  <si>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</si>
  <si>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</si>
  <si>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</si>
  <si>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</si>
  <si>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</si>
  <si>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</si>
  <si>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</si>
  <si>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</si>
  <si>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</si>
  <si>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</si>
  <si>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</si>
  <si>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</si>
  <si>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</si>
  <si>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</si>
  <si>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</si>
  <si>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</si>
  <si>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</si>
  <si>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</si>
  <si>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</si>
  <si>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</si>
  <si>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</si>
  <si>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</si>
  <si>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</si>
  <si>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</si>
  <si>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</si>
  <si>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</si>
  <si>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</si>
  <si>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</si>
  <si>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</si>
  <si>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</si>
  <si>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</si>
  <si>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</si>
  <si>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</si>
  <si>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</si>
  <si>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</si>
  <si>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</si>
  <si>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</si>
  <si>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</si>
  <si>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</si>
  <si>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</si>
  <si>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</si>
  <si>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</si>
  <si>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</si>
  <si>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</si>
  <si>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</si>
  <si>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</si>
  <si>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</si>
  <si>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</si>
  <si>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</si>
  <si>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</si>
  <si>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</si>
  <si>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</si>
  <si>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</si>
  <si>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</si>
  <si>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</si>
  <si>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</si>
  <si>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</si>
  <si>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</si>
  <si>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</si>
  <si>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</si>
  <si>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</si>
  <si>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</si>
  <si>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</si>
  <si>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</si>
  <si>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</si>
  <si>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</si>
  <si>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</si>
  <si>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</si>
  <si>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</si>
  <si>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</si>
  <si>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</si>
  <si>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</si>
  <si>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</si>
  <si>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</si>
  <si>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</si>
  <si>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</si>
  <si>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</si>
  <si>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</si>
  <si>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</si>
  <si>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</si>
  <si>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</si>
  <si>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</si>
  <si>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</si>
  <si>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</si>
  <si>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</si>
  <si>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</si>
  <si>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</si>
  <si>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</si>
  <si>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</si>
  <si>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</si>
  <si>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</si>
  <si>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</si>
  <si>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</si>
  <si>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</si>
  <si>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</si>
  <si>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</si>
  <si>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</si>
  <si>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</si>
  <si>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</si>
  <si>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</si>
  <si>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</si>
  <si>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</si>
  <si>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</si>
  <si>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</si>
  <si>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</si>
  <si>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</si>
  <si>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</si>
  <si>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</si>
  <si>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</si>
  <si>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</si>
  <si>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</si>
  <si>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</si>
  <si>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</si>
  <si>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</si>
  <si>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</si>
  <si>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</si>
  <si>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</si>
  <si>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</si>
  <si>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</si>
  <si>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</si>
  <si>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</si>
  <si>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</si>
  <si>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</si>
  <si>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</si>
  <si>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</si>
  <si>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</si>
  <si>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</si>
  <si>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</si>
  <si>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</si>
  <si>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</si>
  <si>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</si>
  <si>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</si>
  <si>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</si>
  <si>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</si>
  <si>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</si>
  <si>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</si>
  <si>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</si>
  <si>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</si>
  <si>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</si>
  <si>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</si>
  <si>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</si>
  <si>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</si>
  <si>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</si>
  <si>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</si>
  <si>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</si>
  <si>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</si>
  <si>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</si>
  <si>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</si>
  <si>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</si>
  <si>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</si>
  <si>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</si>
  <si>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</si>
  <si>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</si>
  <si>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</si>
  <si>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</si>
  <si>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</si>
  <si>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</si>
  <si>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</si>
  <si>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</si>
  <si>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</si>
  <si>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</si>
  <si>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</si>
  <si>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</si>
  <si>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</si>
  <si>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</si>
  <si>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</si>
  <si>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</si>
  <si>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</si>
  <si>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</si>
  <si>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</si>
  <si>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</si>
  <si>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</si>
  <si>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</si>
  <si>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</si>
  <si>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</si>
  <si>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</si>
  <si>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</si>
  <si>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</si>
  <si>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</si>
  <si>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</si>
  <si>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</si>
  <si>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</si>
  <si>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</si>
  <si>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</si>
  <si>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</si>
  <si>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</si>
  <si>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</si>
  <si>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</si>
  <si>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</si>
  <si>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</si>
  <si>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</si>
  <si>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</si>
  <si>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</si>
  <si>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</si>
  <si>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</si>
  <si>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</si>
  <si>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</si>
  <si>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</si>
  <si>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</si>
  <si>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</si>
  <si>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</si>
  <si>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</si>
  <si>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</si>
  <si>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</si>
  <si>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</si>
  <si>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</si>
  <si>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</si>
  <si>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</si>
  <si>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</si>
  <si>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</si>
  <si>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</si>
  <si>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</si>
  <si>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</si>
  <si>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</si>
  <si>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</si>
  <si>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</si>
  <si>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</si>
  <si>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</si>
  <si>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</si>
  <si>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</si>
  <si>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</si>
  <si>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</si>
  <si>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</si>
  <si>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</si>
  <si>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</si>
  <si>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</si>
  <si>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</si>
  <si>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</si>
  <si>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</si>
  <si>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</si>
  <si>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</si>
  <si>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</si>
  <si>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</si>
  <si>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</si>
  <si>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</si>
  <si>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</si>
  <si>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</si>
  <si>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</si>
  <si>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</si>
  <si>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</si>
  <si>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</si>
  <si>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</si>
  <si>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</si>
  <si>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</si>
  <si>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</si>
  <si>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</si>
  <si>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</si>
  <si>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</si>
  <si>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</si>
  <si>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</si>
  <si>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</si>
  <si>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</si>
  <si>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</si>
  <si>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</si>
  <si>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</si>
  <si>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</si>
  <si>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</si>
  <si>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</si>
  <si>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</si>
  <si>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</si>
  <si>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</si>
  <si>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</si>
  <si>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</si>
  <si>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</si>
  <si>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</si>
  <si>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</si>
  <si>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</si>
  <si>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</si>
  <si>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</si>
  <si>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</si>
  <si>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</si>
  <si>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</si>
  <si>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</si>
  <si>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</si>
  <si>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</si>
  <si>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</si>
  <si>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</si>
  <si>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</si>
  <si>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</si>
  <si>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</si>
  <si>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</si>
  <si>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</si>
  <si>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</si>
  <si>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</si>
  <si>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</si>
  <si>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</si>
  <si>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</si>
  <si>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</si>
  <si>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</si>
  <si>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</si>
  <si>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</si>
  <si>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</si>
  <si>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</si>
  <si>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</si>
  <si>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</si>
  <si>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</si>
  <si>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</si>
  <si>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</si>
  <si>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</si>
  <si>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</si>
  <si>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</si>
  <si>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</si>
  <si>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</si>
  <si>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</si>
  <si>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</si>
  <si>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</si>
  <si>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</si>
  <si>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</si>
  <si>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</si>
  <si>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</si>
  <si>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</si>
  <si>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</si>
  <si>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</si>
  <si>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</si>
  <si>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</si>
  <si>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</si>
  <si>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</si>
  <si>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</si>
  <si>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</si>
  <si>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</si>
  <si>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</si>
  <si>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</si>
  <si>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</si>
  <si>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</si>
  <si>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</si>
  <si>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</si>
  <si>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</si>
  <si>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</si>
  <si>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</si>
  <si>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</si>
  <si>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</si>
  <si>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</si>
  <si>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</si>
  <si>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</si>
  <si>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</si>
  <si>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</si>
  <si>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</si>
  <si>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</si>
  <si>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</si>
  <si>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</si>
  <si>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</si>
  <si>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</si>
  <si>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</si>
  <si>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</si>
  <si>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</si>
  <si>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</si>
  <si>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</si>
  <si>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</si>
  <si>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</si>
  <si>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</si>
  <si>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</si>
  <si>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</si>
  <si>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</si>
  <si>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</si>
  <si>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</si>
  <si>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</si>
  <si>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</si>
  <si>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</si>
  <si>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</si>
  <si>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</si>
  <si>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</si>
  <si>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</si>
  <si>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</si>
  <si>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</si>
  <si>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</si>
  <si>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</si>
  <si>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</si>
  <si>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</si>
  <si>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</si>
  <si>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</si>
  <si>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</si>
  <si>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</si>
  <si>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</si>
  <si>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</si>
  <si>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</si>
  <si>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</si>
  <si>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</si>
  <si>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</si>
  <si>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</si>
  <si>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</si>
  <si>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</si>
  <si>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</si>
  <si>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</si>
  <si>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</si>
  <si>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</si>
  <si>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</si>
  <si>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</si>
  <si>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</si>
  <si>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</si>
  <si>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</si>
  <si>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</si>
  <si>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</si>
  <si>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</si>
  <si>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</si>
  <si>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</si>
  <si>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</si>
  <si>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</si>
  <si>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</si>
  <si>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</si>
  <si>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</si>
  <si>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</si>
  <si>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</si>
  <si>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</si>
  <si>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</si>
  <si>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</si>
  <si>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</si>
  <si>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</si>
  <si>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</si>
  <si>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</si>
  <si>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</si>
  <si>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</si>
  <si>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</si>
  <si>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</si>
  <si>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</si>
  <si>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</si>
  <si>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</si>
  <si>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</si>
  <si>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</si>
  <si>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</si>
  <si>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</si>
  <si>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</si>
  <si>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</si>
  <si>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</si>
  <si>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</si>
  <si>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</si>
  <si>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</si>
  <si>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</si>
  <si>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</si>
  <si>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</si>
  <si>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</si>
  <si>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</si>
  <si>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</si>
  <si>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</si>
  <si>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</si>
  <si>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</si>
  <si>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</si>
  <si>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</si>
  <si>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</si>
  <si>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</si>
  <si>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</si>
  <si>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</si>
  <si>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</si>
  <si>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</si>
  <si>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</si>
  <si>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</si>
  <si>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</si>
  <si>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</si>
  <si>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</si>
  <si>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</si>
  <si>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</si>
  <si>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</si>
  <si>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</si>
  <si>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</si>
  <si>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</si>
  <si>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</si>
  <si>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</si>
  <si>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</si>
  <si>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</si>
  <si>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</si>
  <si>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</si>
  <si>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</si>
  <si>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</si>
  <si>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</si>
  <si>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</si>
  <si>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</si>
  <si>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</si>
  <si>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</si>
  <si>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</si>
  <si>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</si>
  <si>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</si>
  <si>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</si>
  <si>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</si>
  <si>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</si>
  <si>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</si>
  <si>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</si>
  <si>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</si>
  <si>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</si>
  <si>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</si>
  <si>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</si>
  <si>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</si>
  <si>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</si>
  <si>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</si>
  <si>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</si>
  <si>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</si>
  <si>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</si>
  <si>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</si>
  <si>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</si>
  <si>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</si>
  <si>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</si>
  <si>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</si>
  <si>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</si>
  <si>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</si>
  <si>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</si>
  <si>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</si>
  <si>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</si>
  <si>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</si>
  <si>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</si>
  <si>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</si>
  <si>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</si>
  <si>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</si>
  <si>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</si>
  <si>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</si>
  <si>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</si>
  <si>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</si>
  <si>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</si>
  <si>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</si>
  <si>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</si>
  <si>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</si>
  <si>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</si>
  <si>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</si>
  <si>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</si>
  <si>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</si>
  <si>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</si>
  <si>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</si>
  <si>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</si>
  <si>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</si>
  <si>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</si>
  <si>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</si>
  <si>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</si>
  <si>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</si>
  <si>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</si>
  <si>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</si>
  <si>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</si>
  <si>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</si>
  <si>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</si>
  <si>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</si>
  <si>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</si>
  <si>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</si>
  <si>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</si>
  <si>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</si>
  <si>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</si>
  <si>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</si>
  <si>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</si>
  <si>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</si>
  <si>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</si>
  <si>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</si>
  <si>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</si>
  <si>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</si>
  <si>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</si>
  <si>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</si>
  <si>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</si>
  <si>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</si>
  <si>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</si>
  <si>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</si>
  <si>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</si>
  <si>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</si>
  <si>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</si>
  <si>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</si>
  <si>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</si>
  <si>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</si>
  <si>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</si>
  <si>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</si>
  <si>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</si>
  <si>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</si>
  <si>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</si>
  <si>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</si>
  <si>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</si>
  <si>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</si>
  <si>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</si>
  <si>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</si>
  <si>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</si>
  <si>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</si>
  <si>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</si>
  <si>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</si>
  <si>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</si>
  <si>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</si>
  <si>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</si>
  <si>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</si>
  <si>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</si>
  <si>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</si>
  <si>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</si>
  <si>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</si>
  <si>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</si>
  <si>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</si>
  <si>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</si>
  <si>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</si>
  <si>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</si>
  <si>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</si>
  <si>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</si>
  <si>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</si>
  <si>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</si>
  <si>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</si>
  <si>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</si>
  <si>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</si>
  <si>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</si>
  <si>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</si>
  <si>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</si>
  <si>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</si>
  <si>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</si>
  <si>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</si>
  <si>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</si>
  <si>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</si>
  <si>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</si>
  <si>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</si>
  <si>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</si>
  <si>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</si>
  <si>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</si>
  <si>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</si>
  <si>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</si>
  <si>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</si>
  <si>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</si>
  <si>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</si>
  <si>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</si>
  <si>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</si>
  <si>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</si>
  <si>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</si>
  <si>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</si>
  <si>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</si>
  <si>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</si>
  <si>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</si>
  <si>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</si>
  <si>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</si>
  <si>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</si>
  <si>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</si>
  <si>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</si>
  <si>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</si>
  <si>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</si>
  <si>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</si>
  <si>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</si>
  <si>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</si>
  <si>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</si>
  <si>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</si>
  <si>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</si>
  <si>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</si>
  <si>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</si>
  <si>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</si>
  <si>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</si>
  <si>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</si>
  <si>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</si>
  <si>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</si>
  <si>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</si>
  <si>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</si>
  <si>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</si>
  <si>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</si>
  <si>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</si>
  <si>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</si>
  <si>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</si>
  <si>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</si>
  <si>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</si>
  <si>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</si>
  <si>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</si>
  <si>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</si>
  <si>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</si>
  <si>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</si>
  <si>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</si>
  <si>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</si>
  <si>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</si>
  <si>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</si>
  <si>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</si>
  <si>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</si>
  <si>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</si>
  <si>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</si>
  <si>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</si>
  <si>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</si>
  <si>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</si>
  <si>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</si>
  <si>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</si>
  <si>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</si>
  <si>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</si>
  <si>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</si>
  <si>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</si>
  <si>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</si>
  <si>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</si>
  <si>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</si>
  <si>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</si>
  <si>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</si>
  <si>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</si>
  <si>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</si>
  <si>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</si>
  <si>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</si>
  <si>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</si>
  <si>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</si>
  <si>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</si>
  <si>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</si>
  <si>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</si>
  <si>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</si>
  <si>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</si>
  <si>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</si>
  <si>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</si>
  <si>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</si>
  <si>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</si>
  <si>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</si>
  <si>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</si>
  <si>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</si>
  <si>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</si>
  <si>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</si>
  <si>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</si>
  <si>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</si>
  <si>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</si>
  <si>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</si>
  <si>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</si>
  <si>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</si>
  <si>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</si>
  <si>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</si>
  <si>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</si>
  <si>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</si>
  <si>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</si>
  <si>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</si>
  <si>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</si>
  <si>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</si>
  <si>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</si>
  <si>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</si>
  <si>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</si>
  <si>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</si>
  <si>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</si>
  <si>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</si>
  <si>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</si>
  <si>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</si>
  <si>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</si>
  <si>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</si>
  <si>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</si>
  <si>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</si>
  <si>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</si>
  <si>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</si>
  <si>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</si>
  <si>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</si>
  <si>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</si>
  <si>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</si>
  <si>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</si>
  <si>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</si>
  <si>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</si>
  <si>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</si>
  <si>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</si>
  <si>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</si>
  <si>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</si>
  <si>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</si>
  <si>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</si>
  <si>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</si>
  <si>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</si>
  <si>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</si>
  <si>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</si>
  <si>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</si>
  <si>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</si>
  <si>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</si>
  <si>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</si>
  <si>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</si>
  <si>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</si>
  <si>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</si>
  <si>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</si>
  <si>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</si>
  <si>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</si>
  <si>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</si>
  <si>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</si>
  <si>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</si>
  <si>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</si>
  <si>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</si>
  <si>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</si>
  <si>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</si>
  <si>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</si>
  <si>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</si>
  <si>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</si>
  <si>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</si>
  <si>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</si>
  <si>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</si>
  <si>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</si>
  <si>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</si>
  <si>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</si>
  <si>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</si>
  <si>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</si>
  <si>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</si>
  <si>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</si>
  <si>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</si>
  <si>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</si>
  <si>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</si>
  <si>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</si>
  <si>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</si>
  <si>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</si>
  <si>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</si>
  <si>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</si>
  <si>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</si>
  <si>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</si>
  <si>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</si>
  <si>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</si>
  <si>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</si>
  <si>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</si>
  <si>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</si>
  <si>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</si>
  <si>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</si>
  <si>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</si>
  <si>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</si>
  <si>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</si>
  <si>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</si>
  <si>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</si>
  <si>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</si>
  <si>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</si>
  <si>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</si>
  <si>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</si>
  <si>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</si>
  <si>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</si>
  <si>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</si>
  <si>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</si>
  <si>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</si>
  <si>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</si>
  <si>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</si>
  <si>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</si>
  <si>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</si>
  <si>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</si>
  <si>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</si>
  <si>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</si>
  <si>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</si>
  <si>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</si>
  <si>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</si>
  <si>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</si>
  <si>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</si>
  <si>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</si>
  <si>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</si>
  <si>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</si>
  <si>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</si>
  <si>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</si>
  <si>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</si>
  <si>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</si>
  <si>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</si>
  <si>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</si>
  <si>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</si>
  <si>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</si>
  <si>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</si>
  <si>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</si>
  <si>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</si>
  <si>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</si>
  <si>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</si>
  <si>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</si>
  <si>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</si>
  <si>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</si>
  <si>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</si>
  <si>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</si>
  <si>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</si>
  <si>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</si>
  <si>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</si>
  <si>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</si>
  <si>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</si>
  <si>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</si>
  <si>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</si>
  <si>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</si>
  <si>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</si>
  <si>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</si>
  <si>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</si>
  <si>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</si>
  <si>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</si>
  <si>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</si>
  <si>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</si>
  <si>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</si>
  <si>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</si>
  <si>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</si>
  <si>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</si>
  <si>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</si>
  <si>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</si>
  <si>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</si>
  <si>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</si>
  <si>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</si>
  <si>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</si>
  <si>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</si>
  <si>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</si>
  <si>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</si>
  <si>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</si>
  <si>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</si>
  <si>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</si>
  <si>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</si>
  <si>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</si>
  <si>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</si>
  <si>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</si>
  <si>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</si>
  <si>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</si>
  <si>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</si>
  <si>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</si>
  <si>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</si>
  <si>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</si>
  <si>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</si>
  <si>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</si>
  <si>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</si>
  <si>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</si>
  <si>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</si>
  <si>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</si>
  <si>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</si>
  <si>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</si>
  <si>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</si>
  <si>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</si>
  <si>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</si>
  <si>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</si>
  <si>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</si>
  <si>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</si>
  <si>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</si>
  <si>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</si>
  <si>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</si>
  <si>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</si>
  <si>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</si>
  <si>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</si>
  <si>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</si>
  <si>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</si>
  <si>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</si>
  <si>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</si>
  <si>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</si>
  <si>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</si>
  <si>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</si>
  <si>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</si>
  <si>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</si>
  <si>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</si>
  <si>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</si>
  <si>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</si>
  <si>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</si>
  <si>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</si>
  <si>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</si>
  <si>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</si>
  <si>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</si>
  <si>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</si>
  <si>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</si>
  <si>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</si>
  <si>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</si>
  <si>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</si>
  <si>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</si>
  <si>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</si>
  <si>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</si>
  <si>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</si>
  <si>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</si>
  <si>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</si>
  <si>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</si>
  <si>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</si>
  <si>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</si>
  <si>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</si>
  <si>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</si>
  <si>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</si>
  <si>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</si>
  <si>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</si>
  <si>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</si>
  <si>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</si>
  <si>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</si>
  <si>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</si>
  <si>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</si>
  <si>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</si>
  <si>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</si>
  <si>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</si>
  <si>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</si>
  <si>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</si>
  <si>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</si>
  <si>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</si>
  <si>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</si>
  <si>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</si>
  <si>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</si>
  <si>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</si>
  <si>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</si>
  <si>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</si>
  <si>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</si>
  <si>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</si>
  <si>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</si>
  <si>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</si>
  <si>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</si>
  <si>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</si>
  <si>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</si>
  <si>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</si>
  <si>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</si>
  <si>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</si>
  <si>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</si>
  <si>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</si>
  <si>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</si>
  <si>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</si>
  <si>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</si>
  <si>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</si>
  <si>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</si>
  <si>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</si>
  <si>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</si>
  <si>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</si>
  <si>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</si>
  <si>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</si>
  <si>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</si>
  <si>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</si>
  <si>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</si>
  <si>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</si>
  <si>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</si>
  <si>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</si>
  <si>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</si>
  <si>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</si>
  <si>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</si>
  <si>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</si>
  <si>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</si>
  <si>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</si>
  <si>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</si>
  <si>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</si>
  <si>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</si>
  <si>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</si>
  <si>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</si>
  <si>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</si>
  <si>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</si>
  <si>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</si>
  <si>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</si>
  <si>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</si>
  <si>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</si>
  <si>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</si>
  <si>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</si>
  <si>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</si>
  <si>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</si>
  <si>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</si>
  <si>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</si>
  <si>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</si>
  <si>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</si>
  <si>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</si>
  <si>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</si>
  <si>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</si>
  <si>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</si>
  <si>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</si>
  <si>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</si>
  <si>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</si>
  <si>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</si>
  <si>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</si>
  <si>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</si>
  <si>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</si>
  <si>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</si>
  <si>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</si>
  <si>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</si>
  <si>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</si>
  <si>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</si>
  <si>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</si>
  <si>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</si>
  <si>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</si>
  <si>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</si>
  <si>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</si>
  <si>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</si>
  <si>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</si>
  <si>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</si>
  <si>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</si>
  <si>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</si>
  <si>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</si>
  <si>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</si>
  <si>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</si>
  <si>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</si>
  <si>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</si>
  <si>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</si>
  <si>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</si>
  <si>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</si>
  <si>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</si>
  <si>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</si>
  <si>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</si>
  <si>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</si>
  <si>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</si>
  <si>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</si>
  <si>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</si>
  <si>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</si>
  <si>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</si>
  <si>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</si>
  <si>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</si>
  <si>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</si>
  <si>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</si>
  <si>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</si>
  <si>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</si>
  <si>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</si>
  <si>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</si>
  <si>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</si>
  <si>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</si>
  <si>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</si>
  <si>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</si>
  <si>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</si>
  <si>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</si>
  <si>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</si>
  <si>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</si>
  <si>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</si>
  <si>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</si>
  <si>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</si>
  <si>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</si>
  <si>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</si>
  <si>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</si>
  <si>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</si>
  <si>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</si>
  <si>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</si>
  <si>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</si>
  <si>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</si>
  <si>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</si>
  <si>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</si>
  <si>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</si>
  <si>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</si>
  <si>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</si>
  <si>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</si>
  <si>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</si>
  <si>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</si>
  <si>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</si>
  <si>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</si>
  <si>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</si>
  <si>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</si>
  <si>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</si>
  <si>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</si>
  <si>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</si>
  <si>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</si>
  <si>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</si>
  <si>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</si>
  <si>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</si>
  <si>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</si>
  <si>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</si>
  <si>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</si>
  <si>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</si>
  <si>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</si>
  <si>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</si>
  <si>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</si>
  <si>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</si>
  <si>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</si>
  <si>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</si>
  <si>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</si>
  <si>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</si>
  <si>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</si>
  <si>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</si>
  <si>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</si>
  <si>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</si>
  <si>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</si>
  <si>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</si>
  <si>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</si>
  <si>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</si>
  <si>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</si>
  <si>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</si>
  <si>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</si>
  <si>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</si>
  <si>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</si>
  <si>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</si>
  <si>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</si>
  <si>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</si>
  <si>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</si>
  <si>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</si>
  <si>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</si>
  <si>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</si>
  <si>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</si>
  <si>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</si>
  <si>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</si>
  <si>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</si>
  <si>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</si>
  <si>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</si>
  <si>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</si>
  <si>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</si>
  <si>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</si>
  <si>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</si>
  <si>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</si>
  <si>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</si>
  <si>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</si>
  <si>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</si>
  <si>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</si>
  <si>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</si>
  <si>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</si>
  <si>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</si>
  <si>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</si>
  <si>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</si>
  <si>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</si>
  <si>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</si>
  <si>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</si>
  <si>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</si>
  <si>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</si>
  <si>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</si>
  <si>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</si>
  <si>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</si>
  <si>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</si>
  <si>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</si>
  <si>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</si>
  <si>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</si>
  <si>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</si>
  <si>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</si>
  <si>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</si>
  <si>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</si>
  <si>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</si>
  <si>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</si>
  <si>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</si>
  <si>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</si>
  <si>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</si>
  <si>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</si>
  <si>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</si>
  <si>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</si>
  <si>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</si>
  <si>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</si>
  <si>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</si>
  <si>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</si>
  <si>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</si>
  <si>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</si>
  <si>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</si>
  <si>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</si>
  <si>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</si>
  <si>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</si>
  <si>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</si>
  <si>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</si>
  <si>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</si>
  <si>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</si>
  <si>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</si>
  <si>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</si>
  <si>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</si>
  <si>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</si>
  <si>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</si>
  <si>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</si>
  <si>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</si>
  <si>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</si>
  <si>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</si>
  <si>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</si>
  <si>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</si>
  <si>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</si>
  <si>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</si>
  <si>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</si>
  <si>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</si>
  <si>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</si>
  <si>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</si>
  <si>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</si>
  <si>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</si>
  <si>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</si>
  <si>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</si>
  <si>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</si>
  <si>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</si>
  <si>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</si>
  <si>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</si>
  <si>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</si>
  <si>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</si>
  <si>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</si>
  <si>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</si>
  <si>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</si>
  <si>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</si>
  <si>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</si>
  <si>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</si>
  <si>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</si>
  <si>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</si>
  <si>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</si>
  <si>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</si>
  <si>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</si>
  <si>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</si>
  <si>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</si>
  <si>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</si>
  <si>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</si>
  <si>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</si>
  <si>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</si>
  <si>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</si>
  <si>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</si>
  <si>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</si>
  <si>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</si>
  <si>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</si>
  <si>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</si>
  <si>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</si>
  <si>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</si>
  <si>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</si>
  <si>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</si>
  <si>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</si>
  <si>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</si>
  <si>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</si>
  <si>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</si>
  <si>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</si>
  <si>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</si>
  <si>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</si>
  <si>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</si>
  <si>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</si>
  <si>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</si>
  <si>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</si>
  <si>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</si>
  <si>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</si>
  <si>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</si>
  <si>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</si>
  <si>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</si>
  <si>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</si>
  <si>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</si>
  <si>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</si>
  <si>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</si>
  <si>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</si>
  <si>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</si>
  <si>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</si>
  <si>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</si>
  <si>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</si>
  <si>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</si>
  <si>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</si>
  <si>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</si>
  <si>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</si>
  <si>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</si>
  <si>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</si>
  <si>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</si>
  <si>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</si>
  <si>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</si>
  <si>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</si>
  <si>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</si>
  <si>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</si>
  <si>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</si>
  <si>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</si>
  <si>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</si>
  <si>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</si>
  <si>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</si>
  <si>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</si>
  <si>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</si>
  <si>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</si>
  <si>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</si>
  <si>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</si>
  <si>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</si>
  <si>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</si>
  <si>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</si>
  <si>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</si>
  <si>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</si>
  <si>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</si>
  <si>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</si>
  <si>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</si>
  <si>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</si>
  <si>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</si>
  <si>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</si>
  <si>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</si>
  <si>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</si>
  <si>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</si>
  <si>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</si>
  <si>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</si>
  <si>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</si>
  <si>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</si>
  <si>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</si>
  <si>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</si>
  <si>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</si>
  <si>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</si>
  <si>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</si>
  <si>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</si>
  <si>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</si>
  <si>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</si>
  <si>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</si>
  <si>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</si>
  <si>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</si>
  <si>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</si>
  <si>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</si>
  <si>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</si>
  <si>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</si>
  <si>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</si>
  <si>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</si>
  <si>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</si>
  <si>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</si>
  <si>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</si>
  <si>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</si>
  <si>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</si>
  <si>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</si>
  <si>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</si>
  <si>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</si>
  <si>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</si>
  <si>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</si>
  <si>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</si>
  <si>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</si>
  <si>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</si>
  <si>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</si>
  <si>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</si>
  <si>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</si>
  <si>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</si>
  <si>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</si>
  <si>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</si>
  <si>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</si>
  <si>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</si>
  <si>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</si>
  <si>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</si>
  <si>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</si>
  <si>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</si>
  <si>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</si>
  <si>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</si>
  <si>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</si>
  <si>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</si>
  <si>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</si>
  <si>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</si>
  <si>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</si>
  <si>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</si>
  <si>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</si>
  <si>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</si>
  <si>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</si>
  <si>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</si>
  <si>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</si>
  <si>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</si>
  <si>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</si>
  <si>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</si>
  <si>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</si>
  <si>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</si>
  <si>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</si>
  <si>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</si>
  <si>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</si>
  <si>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</si>
  <si>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</si>
  <si>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</si>
  <si>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</si>
  <si>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</si>
  <si>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</si>
  <si>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</si>
  <si>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</si>
  <si>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</si>
  <si>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</si>
  <si>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</si>
  <si>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</si>
  <si>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</si>
  <si>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</si>
  <si>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</si>
  <si>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</si>
  <si>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</si>
  <si>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</si>
  <si>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</si>
  <si>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</si>
  <si>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</si>
  <si>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</si>
  <si>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</si>
  <si>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</si>
  <si>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</si>
  <si>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</si>
  <si>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</si>
  <si>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</si>
  <si>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</si>
  <si>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</si>
  <si>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</si>
  <si>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</si>
  <si>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</si>
  <si>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</si>
  <si>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</si>
  <si>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</si>
  <si>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</si>
  <si>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</si>
  <si>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</si>
  <si>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</si>
  <si>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</si>
  <si>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</si>
  <si>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</si>
  <si>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</si>
  <si>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</si>
  <si>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</si>
  <si>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</si>
  <si>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</si>
  <si>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</si>
  <si>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</si>
  <si>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</si>
  <si>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</si>
  <si>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</si>
  <si>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</si>
  <si>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</si>
  <si>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</si>
  <si>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</si>
  <si>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</si>
  <si>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</si>
  <si>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</si>
  <si>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</si>
  <si>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</si>
  <si>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</si>
  <si>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</si>
  <si>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</si>
  <si>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</si>
  <si>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</si>
  <si>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</si>
  <si>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</si>
  <si>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</si>
  <si>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</si>
  <si>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</si>
  <si>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</si>
  <si>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</si>
  <si>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</si>
  <si>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</si>
  <si>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</si>
  <si>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</si>
  <si>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</si>
  <si>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</si>
  <si>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</si>
  <si>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</si>
  <si>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</si>
  <si>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</si>
  <si>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</si>
  <si>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</si>
  <si>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</si>
  <si>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</si>
  <si>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</si>
  <si>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</si>
  <si>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</si>
  <si>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</si>
  <si>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</si>
  <si>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</si>
  <si>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</si>
  <si>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</si>
  <si>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</si>
  <si>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</si>
  <si>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</si>
  <si>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</si>
  <si>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</si>
  <si>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</si>
  <si>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</si>
  <si>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</si>
  <si>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</si>
  <si>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</si>
  <si>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</si>
  <si>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</si>
  <si>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</si>
  <si>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</si>
  <si>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</si>
  <si>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</si>
  <si>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</si>
  <si>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</si>
  <si>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</si>
  <si>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</si>
  <si>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</si>
  <si>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</si>
  <si>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</si>
  <si>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</si>
  <si>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</si>
  <si>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</si>
  <si>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</si>
  <si>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</si>
  <si>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</si>
  <si>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</si>
  <si>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</si>
  <si>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</si>
  <si>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</si>
  <si>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</si>
  <si>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</si>
  <si>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</si>
  <si>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</si>
  <si>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</si>
  <si>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</si>
  <si>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</si>
  <si>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</si>
  <si>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</si>
  <si>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</si>
  <si>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</si>
  <si>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</si>
  <si>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</si>
  <si>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</si>
  <si>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</si>
  <si>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</si>
  <si>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</si>
  <si>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</si>
  <si>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</si>
  <si>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</si>
  <si>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</si>
  <si>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</si>
  <si>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</si>
  <si>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</si>
  <si>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</si>
  <si>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</si>
  <si>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</si>
  <si>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</si>
  <si>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</si>
  <si>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</si>
  <si>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</si>
  <si>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</si>
  <si>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</si>
  <si>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</si>
  <si>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</si>
  <si>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</si>
  <si>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</si>
  <si>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</si>
  <si>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</si>
  <si>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</si>
  <si>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</si>
  <si>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</si>
  <si>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</si>
  <si>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</si>
  <si>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</si>
  <si>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</si>
  <si>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</si>
  <si>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</si>
  <si>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</si>
  <si>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</si>
  <si>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</si>
  <si>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</si>
  <si>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</si>
  <si>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</si>
  <si>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</si>
  <si>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</si>
  <si>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</si>
  <si>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</si>
  <si>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</si>
  <si>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</si>
  <si>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</si>
  <si>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</si>
  <si>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</si>
  <si>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</si>
  <si>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</si>
  <si>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</si>
  <si>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</si>
  <si>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</si>
  <si>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</si>
  <si>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</si>
  <si>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</si>
  <si>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</si>
  <si>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</si>
  <si>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</si>
  <si>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</si>
  <si>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</si>
  <si>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</si>
  <si>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</si>
  <si>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</si>
  <si>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</si>
  <si>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</si>
  <si>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</si>
  <si>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</si>
  <si>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</si>
  <si>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</si>
  <si>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</si>
  <si>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</si>
  <si>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</si>
  <si>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</si>
  <si>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</si>
  <si>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</si>
  <si>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</si>
  <si>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</si>
  <si>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</si>
  <si>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</si>
  <si>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</si>
  <si>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</si>
  <si>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</si>
  <si>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</si>
  <si>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</si>
  <si>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</si>
  <si>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</si>
  <si>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</si>
  <si>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</si>
  <si>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</si>
  <si>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</si>
  <si>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</si>
  <si>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</si>
  <si>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</si>
  <si>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</si>
  <si>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</si>
  <si>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</si>
  <si>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</si>
  <si>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</si>
  <si>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</si>
  <si>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</si>
  <si>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</si>
  <si>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</si>
  <si>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</si>
  <si>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</si>
  <si>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</si>
  <si>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</si>
  <si>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</si>
  <si>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</si>
  <si>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</si>
  <si>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</si>
  <si>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</si>
  <si>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</si>
  <si>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</si>
  <si>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</si>
  <si>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</si>
  <si>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</si>
  <si>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</si>
  <si>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</si>
  <si>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</si>
  <si>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</si>
  <si>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</si>
  <si>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</si>
  <si>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</si>
  <si>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</si>
  <si>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</si>
  <si>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</si>
  <si>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</si>
  <si>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</si>
  <si>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</si>
  <si>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</si>
  <si>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</si>
  <si>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</si>
  <si>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</si>
  <si>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</si>
  <si>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</si>
  <si>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</si>
  <si>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</si>
  <si>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</si>
  <si>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</si>
  <si>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</si>
  <si>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</si>
  <si>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</si>
  <si>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</si>
  <si>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</si>
  <si>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</si>
  <si>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</si>
  <si>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</si>
  <si>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</si>
  <si>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</si>
  <si>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</si>
  <si>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</si>
  <si>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</si>
  <si>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</si>
  <si>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</si>
  <si>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</si>
  <si>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</si>
  <si>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</si>
  <si>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</si>
  <si>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</si>
  <si>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</si>
  <si>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</si>
  <si>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</si>
  <si>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</si>
  <si>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</si>
  <si>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</si>
  <si>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</si>
  <si>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</si>
  <si>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</si>
  <si>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</si>
  <si>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</si>
  <si>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</si>
  <si>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</si>
  <si>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</si>
  <si>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</si>
  <si>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</si>
  <si>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</si>
  <si>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</si>
  <si>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</si>
  <si>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</si>
  <si>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</si>
  <si>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</si>
  <si>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</si>
  <si>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</si>
  <si>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</si>
  <si>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</si>
  <si>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</si>
  <si>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</si>
  <si>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</si>
  <si>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</si>
  <si>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</si>
  <si>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</si>
  <si>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</si>
  <si>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</si>
  <si>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</si>
  <si>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</si>
  <si>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</si>
  <si>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</si>
  <si>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</si>
  <si>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</si>
  <si>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</si>
  <si>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</si>
  <si>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</si>
  <si>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</si>
  <si>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</si>
  <si>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</si>
  <si>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</si>
  <si>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</si>
  <si>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</si>
  <si>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</si>
  <si>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</si>
  <si>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</si>
  <si>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</si>
  <si>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</si>
  <si>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</si>
  <si>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</si>
  <si>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</si>
  <si>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</si>
  <si>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</si>
  <si>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</si>
  <si>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</si>
  <si>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</si>
  <si>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</si>
  <si>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</si>
  <si>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</si>
  <si>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</si>
  <si>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</si>
  <si>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</si>
  <si>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</si>
  <si>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</si>
  <si>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</si>
  <si>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</si>
  <si>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</si>
  <si>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</si>
  <si>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</si>
  <si>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</si>
  <si>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</si>
  <si>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</si>
  <si>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</si>
  <si>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</si>
  <si>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</si>
  <si>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</si>
  <si>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</si>
  <si>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</si>
  <si>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</si>
  <si>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</si>
  <si>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</si>
  <si>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</si>
  <si>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</si>
  <si>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</si>
  <si>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</si>
  <si>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</si>
  <si>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</si>
  <si>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</si>
  <si>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</si>
  <si>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</si>
  <si>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</si>
  <si>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</si>
  <si>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</si>
  <si>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</si>
  <si>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</si>
  <si>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</si>
  <si>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</si>
  <si>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</si>
  <si>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</si>
  <si>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</si>
  <si>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</si>
  <si>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</si>
  <si>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</si>
  <si>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</si>
  <si>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</si>
  <si>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</si>
  <si>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</si>
  <si>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</si>
  <si>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</si>
  <si>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</si>
  <si>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</si>
  <si>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</si>
  <si>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</si>
  <si>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</si>
  <si>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</si>
  <si>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</si>
  <si>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</si>
  <si>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</si>
  <si>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</si>
  <si>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</si>
  <si>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</si>
  <si>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</si>
  <si>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</si>
  <si>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</si>
  <si>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</si>
  <si>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</si>
  <si>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</si>
  <si>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</si>
  <si>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</si>
  <si>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</si>
  <si>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</si>
  <si>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</si>
  <si>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</si>
  <si>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</si>
  <si>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</si>
  <si>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</si>
  <si>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</si>
  <si>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</si>
  <si>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</si>
  <si>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</si>
  <si>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</si>
  <si>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</si>
  <si>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</si>
  <si>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</si>
  <si>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</si>
  <si>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</si>
  <si>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</si>
  <si>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</si>
  <si>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</si>
  <si>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</si>
  <si>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</si>
  <si>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</si>
  <si>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</si>
  <si>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</si>
  <si>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</si>
  <si>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</si>
  <si>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</si>
  <si>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</si>
  <si>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</si>
  <si>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</si>
  <si>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</si>
  <si>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</si>
  <si>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</si>
  <si>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</si>
  <si>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</si>
  <si>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</si>
  <si>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</si>
  <si>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</si>
  <si>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</si>
  <si>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</si>
  <si>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</si>
  <si>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</si>
  <si>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</si>
  <si>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</si>
  <si>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</si>
  <si>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</si>
  <si>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</si>
  <si>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</si>
  <si>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</si>
  <si>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</si>
  <si>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</si>
  <si>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</si>
  <si>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</si>
  <si>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</si>
  <si>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</si>
  <si>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</si>
  <si>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</si>
  <si>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</si>
  <si>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</si>
  <si>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</si>
  <si>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</si>
  <si>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</si>
  <si>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</si>
  <si>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</si>
  <si>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</si>
  <si>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</si>
  <si>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</si>
  <si>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</si>
  <si>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</si>
  <si>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</si>
  <si>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</si>
  <si>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</si>
  <si>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</si>
  <si>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</si>
  <si>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</si>
  <si>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</si>
  <si>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</si>
  <si>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</si>
  <si>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</si>
  <si>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</si>
  <si>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</si>
  <si>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</si>
  <si>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</si>
  <si>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</si>
  <si>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</si>
  <si>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</si>
  <si>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</si>
  <si>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</si>
  <si>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</si>
  <si>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</si>
  <si>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</si>
  <si>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</si>
  <si>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</si>
  <si>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</si>
  <si>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</si>
  <si>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</si>
  <si>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</si>
  <si>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</si>
  <si>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</si>
  <si>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</si>
  <si>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</si>
  <si>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</si>
  <si>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</si>
  <si>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</si>
  <si>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</si>
  <si>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</si>
  <si>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</si>
  <si>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</si>
  <si>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</si>
  <si>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</si>
  <si>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</si>
  <si>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</si>
  <si>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</si>
  <si>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</si>
  <si>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</si>
  <si>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</si>
  <si>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</si>
  <si>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</si>
  <si>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</si>
  <si>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</si>
  <si>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</si>
  <si>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</si>
  <si>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</si>
  <si>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</si>
  <si>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</si>
  <si>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</si>
  <si>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</si>
  <si>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</si>
  <si>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</si>
  <si>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</si>
  <si>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</si>
  <si>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</si>
  <si>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</si>
  <si>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</si>
  <si>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</si>
  <si>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</si>
  <si>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</si>
  <si>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</si>
  <si>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</si>
  <si>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</si>
  <si>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</si>
  <si>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</si>
  <si>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</si>
  <si>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</si>
  <si>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</si>
  <si>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</si>
  <si>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</si>
  <si>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</si>
  <si>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</si>
  <si>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</si>
  <si>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</si>
  <si>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</si>
  <si>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</si>
  <si>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</si>
  <si>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</si>
  <si>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</si>
  <si>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</si>
  <si>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</si>
  <si>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</si>
  <si>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</si>
  <si>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</si>
  <si>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</si>
  <si>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</si>
  <si>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</si>
  <si>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</si>
  <si>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</si>
  <si>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</si>
  <si>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</si>
  <si>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</si>
  <si>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</si>
  <si>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</si>
  <si>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</si>
  <si>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</si>
  <si>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</si>
  <si>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</si>
  <si>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</si>
  <si>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</si>
  <si>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</si>
  <si>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</si>
  <si>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</si>
  <si>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</si>
  <si>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</si>
  <si>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</si>
  <si>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</si>
  <si>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</si>
  <si>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</si>
  <si>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</si>
  <si>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</si>
  <si>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</si>
  <si>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</si>
  <si>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</si>
  <si>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</si>
  <si>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</si>
  <si>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</si>
  <si>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</si>
  <si>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</si>
  <si>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</si>
  <si>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</si>
  <si>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</si>
  <si>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</si>
  <si>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</si>
  <si>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</si>
  <si>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</si>
  <si>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</si>
  <si>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</si>
  <si>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</si>
  <si>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</si>
  <si>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</si>
  <si>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</si>
  <si>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</si>
  <si>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</si>
  <si>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</si>
  <si>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</si>
  <si>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</si>
  <si>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</si>
  <si>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</si>
  <si>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</si>
  <si>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</si>
  <si>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</si>
  <si>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</si>
  <si>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</si>
  <si>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</si>
  <si>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</si>
  <si>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</si>
  <si>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</si>
  <si>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</si>
  <si>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</si>
  <si>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</si>
  <si>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</si>
  <si>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</si>
  <si>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</si>
  <si>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</si>
  <si>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</si>
  <si>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</si>
  <si>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</si>
  <si>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</si>
  <si>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</si>
  <si>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</si>
  <si>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</si>
  <si>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</si>
  <si>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</si>
  <si>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</si>
  <si>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</si>
  <si>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</si>
  <si>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</si>
  <si>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</si>
  <si>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</si>
  <si>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</si>
  <si>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</si>
  <si>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</si>
  <si>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</si>
  <si>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</si>
  <si>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</si>
  <si>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</si>
  <si>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</si>
  <si>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</si>
  <si>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</si>
  <si>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</si>
  <si>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</si>
  <si>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</si>
  <si>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</si>
  <si>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</si>
  <si>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</si>
  <si>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</si>
  <si>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</si>
  <si>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</si>
  <si>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</si>
  <si>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</si>
  <si>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</si>
  <si>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</si>
  <si>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</si>
  <si>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</si>
  <si>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</si>
  <si>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</si>
  <si>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</si>
  <si>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</si>
  <si>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</si>
  <si>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</si>
  <si>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</si>
  <si>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</si>
  <si>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</si>
  <si>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</si>
  <si>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</si>
  <si>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</si>
  <si>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</si>
  <si>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</si>
  <si>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</si>
  <si>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</si>
  <si>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</si>
  <si>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</si>
  <si>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</si>
  <si>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</si>
  <si>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</si>
  <si>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</si>
  <si>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</si>
  <si>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</si>
  <si>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</si>
  <si>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</si>
  <si>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</si>
  <si>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</si>
  <si>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</si>
  <si>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</si>
  <si>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</si>
  <si>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</si>
  <si>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</si>
  <si>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</si>
  <si>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</si>
  <si>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</si>
  <si>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</si>
  <si>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</si>
  <si>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</si>
  <si>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</si>
  <si>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</si>
  <si>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</si>
  <si>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</si>
  <si>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</si>
  <si>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</si>
  <si>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</si>
  <si>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</si>
  <si>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</si>
  <si>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</si>
  <si>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</si>
  <si>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</si>
  <si>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</si>
  <si>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</si>
  <si>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</si>
  <si>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</si>
  <si>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</si>
  <si>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</si>
  <si>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</si>
  <si>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</si>
  <si>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</si>
  <si>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</si>
  <si>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</si>
  <si>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</si>
  <si>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</si>
  <si>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</si>
  <si>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</si>
  <si>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</si>
  <si>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</si>
  <si>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</si>
  <si>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</si>
  <si>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</si>
  <si>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</si>
  <si>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</si>
  <si>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</si>
  <si>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</si>
  <si>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</si>
  <si>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</si>
  <si>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</si>
  <si>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</si>
  <si>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</si>
  <si>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</si>
  <si>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</si>
  <si>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</si>
  <si>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</si>
  <si>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</si>
  <si>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</si>
  <si>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</si>
  <si>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</si>
  <si>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</si>
  <si>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</si>
  <si>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</si>
  <si>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</si>
  <si>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</si>
  <si>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</si>
  <si>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</si>
  <si>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</si>
  <si>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</si>
  <si>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</si>
  <si>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</si>
  <si>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</si>
  <si>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</si>
  <si>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</si>
  <si>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</si>
  <si>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</si>
  <si>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</si>
  <si>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</si>
  <si>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</si>
  <si>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</si>
  <si>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</si>
  <si>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</si>
  <si>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</si>
  <si>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</si>
  <si>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</si>
  <si>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</si>
  <si>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</si>
  <si>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</si>
  <si>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</si>
  <si>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</si>
  <si>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</si>
  <si>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</si>
  <si>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</si>
  <si>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</si>
  <si>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</si>
  <si>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</si>
  <si>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</si>
  <si>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</si>
  <si>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</si>
  <si>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</si>
  <si>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</si>
  <si>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</si>
  <si>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</si>
  <si>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</si>
  <si>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</si>
  <si>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</si>
  <si>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</si>
  <si>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</si>
  <si>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</si>
  <si>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</si>
  <si>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</si>
  <si>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</si>
  <si>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</si>
  <si>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</si>
  <si>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</si>
  <si>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</si>
  <si>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</si>
  <si>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</si>
  <si>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</si>
  <si>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</si>
  <si>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</si>
  <si>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</si>
  <si>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</si>
  <si>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</si>
  <si>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</si>
  <si>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</si>
  <si>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</si>
  <si>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</si>
  <si>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</si>
  <si>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</si>
  <si>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</si>
  <si>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</si>
  <si>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</si>
  <si>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</si>
  <si>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</si>
  <si>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</si>
  <si>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</si>
  <si>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</si>
  <si>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</si>
  <si>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</si>
  <si>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</si>
  <si>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</si>
  <si>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</si>
  <si>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</si>
  <si>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</si>
  <si>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</si>
  <si>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</si>
  <si>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</si>
  <si>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</si>
  <si>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</si>
  <si>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</si>
  <si>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</si>
  <si>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</si>
  <si>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</si>
  <si>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</si>
  <si>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</si>
  <si>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</si>
  <si>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</si>
  <si>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</si>
  <si>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</si>
  <si>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</si>
  <si>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</si>
  <si>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</si>
  <si>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</si>
  <si>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</si>
  <si>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</si>
  <si>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</si>
  <si>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</si>
  <si>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</si>
  <si>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</si>
  <si>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</si>
  <si>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</si>
  <si>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</si>
  <si>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</si>
  <si>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</si>
  <si>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</si>
  <si>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</si>
  <si>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</si>
  <si>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</si>
  <si>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</si>
  <si>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</si>
  <si>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</si>
  <si>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</si>
  <si>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</si>
  <si>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</si>
  <si>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</si>
  <si>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</si>
  <si>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</si>
  <si>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</si>
  <si>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</si>
  <si>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</si>
  <si>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</si>
  <si>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</si>
  <si>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</si>
  <si>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</si>
  <si>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</si>
  <si>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</si>
  <si>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</si>
  <si>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</si>
  <si>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</si>
  <si>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</si>
  <si>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</si>
  <si>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</si>
  <si>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</si>
  <si>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</si>
  <si>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</si>
  <si>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</si>
  <si>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</si>
  <si>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</si>
  <si>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</si>
  <si>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</si>
  <si>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</si>
  <si>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</si>
  <si>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</si>
  <si>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</si>
  <si>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</si>
  <si>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</si>
  <si>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</si>
  <si>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</si>
  <si>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</si>
  <si>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</si>
  <si>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</si>
  <si>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</si>
  <si>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</si>
  <si>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</si>
  <si>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</si>
  <si>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</si>
  <si>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</si>
  <si>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</si>
  <si>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</si>
  <si>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</si>
  <si>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</si>
  <si>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</si>
  <si>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</si>
  <si>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</si>
  <si>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</si>
  <si>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</si>
  <si>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</si>
  <si>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</si>
  <si>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</si>
  <si>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</si>
  <si>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</si>
  <si>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</si>
  <si>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</si>
  <si>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</si>
  <si>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</si>
  <si>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</si>
  <si>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</si>
  <si>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</si>
  <si>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</si>
  <si>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</si>
  <si>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</si>
  <si>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</si>
  <si>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</si>
  <si>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</si>
  <si>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</si>
  <si>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</si>
  <si>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</si>
  <si>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</si>
  <si>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</si>
  <si>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</si>
  <si>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</si>
  <si>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</si>
  <si>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</si>
  <si>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</si>
  <si>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</si>
  <si>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</si>
  <si>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</si>
  <si>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</si>
  <si>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</si>
  <si>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</si>
  <si>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</si>
  <si>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</si>
  <si>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</si>
  <si>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</si>
  <si>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</si>
  <si>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</si>
  <si>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</si>
  <si>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</si>
  <si>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</si>
  <si>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</si>
  <si>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</si>
  <si>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</si>
  <si>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</si>
  <si>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</si>
  <si>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</si>
  <si>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</si>
  <si>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</si>
  <si>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</si>
  <si>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</si>
  <si>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</si>
  <si>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</si>
  <si>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</si>
  <si>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</si>
  <si>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</si>
  <si>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</si>
  <si>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</si>
  <si>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</si>
  <si>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</si>
  <si>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</si>
  <si>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</si>
  <si>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</si>
  <si>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</si>
  <si>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</si>
  <si>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</si>
  <si>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</si>
  <si>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</si>
  <si>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</si>
  <si>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</si>
  <si>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</si>
  <si>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</si>
  <si>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</si>
  <si>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</si>
  <si>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</si>
  <si>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</si>
  <si>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</si>
  <si>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</si>
  <si>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</si>
  <si>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</si>
  <si>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</si>
  <si>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</si>
  <si>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</si>
  <si>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</si>
  <si>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</si>
  <si>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</si>
  <si>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</si>
  <si>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</si>
  <si>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</si>
  <si>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</si>
  <si>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</si>
  <si>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</si>
  <si>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</si>
  <si>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</si>
  <si>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</si>
  <si>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</si>
  <si>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</si>
  <si>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</si>
  <si>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</si>
  <si>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</si>
  <si>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</si>
  <si>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</si>
  <si>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</si>
  <si>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</si>
  <si>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</si>
  <si>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</si>
  <si>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</si>
  <si>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</si>
  <si>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</si>
  <si>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</si>
  <si>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</si>
  <si>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</si>
  <si>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</si>
  <si>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</si>
  <si>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</si>
  <si>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</si>
  <si>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</si>
  <si>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</si>
  <si>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</si>
  <si>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</si>
  <si>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</si>
  <si>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</si>
  <si>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</si>
  <si>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</si>
  <si>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</si>
  <si>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</si>
  <si>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</si>
  <si>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</si>
  <si>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</si>
  <si>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</si>
  <si>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</si>
  <si>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</si>
  <si>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</si>
  <si>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</si>
  <si>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</si>
  <si>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</si>
  <si>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</si>
  <si>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</si>
  <si>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</si>
  <si>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</si>
  <si>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</si>
  <si>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</si>
  <si>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</si>
  <si>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</si>
  <si>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</si>
  <si>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</si>
  <si>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</si>
  <si>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</si>
  <si>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</si>
  <si>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</si>
  <si>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</si>
  <si>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</si>
  <si>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</si>
  <si>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</si>
  <si>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</si>
  <si>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</si>
  <si>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</si>
  <si>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</si>
  <si>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</si>
  <si>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</si>
  <si>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</si>
  <si>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</si>
  <si>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</si>
  <si>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</si>
  <si>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</si>
  <si>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</si>
  <si>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</si>
  <si>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</si>
  <si>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</si>
  <si>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</si>
  <si>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</si>
  <si>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</si>
  <si>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</si>
  <si>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</si>
  <si>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</si>
  <si>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</si>
  <si>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</si>
  <si>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</si>
  <si>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</si>
  <si>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</si>
  <si>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</si>
  <si>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</si>
  <si>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</si>
  <si>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</si>
  <si>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</si>
  <si>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</si>
  <si>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</si>
  <si>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</si>
  <si>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</si>
  <si>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</si>
  <si>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</si>
  <si>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</si>
  <si>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</si>
  <si>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</si>
  <si>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</si>
  <si>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</si>
  <si>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</si>
  <si>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</si>
  <si>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</si>
  <si>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</si>
  <si>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</si>
  <si>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</si>
  <si>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</si>
  <si>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</si>
  <si>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</si>
  <si>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</si>
  <si>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</si>
  <si>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</si>
  <si>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</si>
  <si>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</si>
  <si>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</si>
  <si>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</si>
  <si>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</si>
  <si>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</si>
  <si>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</si>
  <si>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</si>
  <si>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</si>
  <si>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</si>
  <si>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</si>
  <si>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</si>
  <si>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</si>
  <si>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</si>
  <si>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</si>
  <si>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</si>
  <si>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</si>
  <si>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</si>
  <si>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</si>
  <si>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</si>
  <si>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</si>
  <si>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</si>
  <si>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</si>
  <si>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</si>
  <si>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</si>
  <si>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</si>
  <si>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</si>
  <si>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</si>
  <si>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</si>
  <si>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</si>
  <si>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</si>
  <si>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</si>
  <si>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</si>
  <si>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</si>
  <si>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</si>
  <si>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</si>
  <si>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</si>
  <si>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</si>
  <si>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</si>
  <si>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</si>
  <si>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</si>
  <si>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</si>
  <si>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</si>
  <si>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</si>
  <si>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</si>
  <si>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</si>
  <si>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</si>
  <si>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</si>
  <si>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</si>
  <si>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</si>
  <si>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</si>
  <si>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</si>
  <si>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</si>
  <si>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</si>
  <si>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</si>
  <si>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</si>
  <si>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</si>
  <si>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</si>
  <si>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</si>
  <si>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</si>
  <si>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</si>
  <si>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</si>
  <si>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</si>
  <si>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</si>
  <si>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</si>
  <si>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</si>
  <si>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</si>
  <si>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</si>
  <si>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</si>
  <si>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</si>
  <si>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</si>
  <si>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</si>
  <si>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</si>
  <si>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</si>
  <si>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</si>
  <si>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</si>
  <si>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</si>
  <si>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</si>
  <si>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</si>
  <si>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</si>
  <si>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</si>
  <si>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</si>
  <si>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</si>
  <si>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</si>
  <si>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</si>
  <si>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</si>
  <si>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</si>
  <si>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</si>
  <si>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</si>
  <si>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</si>
  <si>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</si>
  <si>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</si>
  <si>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</si>
  <si>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</si>
  <si>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</si>
  <si>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</si>
  <si>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</si>
  <si>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</si>
  <si>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</si>
  <si>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</si>
  <si>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</si>
  <si>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</si>
  <si>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</si>
  <si>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</si>
  <si>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</si>
  <si>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</si>
  <si>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</si>
  <si>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</si>
  <si>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</si>
  <si>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</si>
  <si>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</si>
  <si>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</si>
  <si>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</si>
  <si>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</si>
  <si>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</si>
  <si>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</si>
  <si>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</si>
  <si>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</si>
  <si>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</si>
  <si>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</si>
  <si>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</si>
  <si>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</si>
  <si>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</si>
  <si>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</si>
  <si>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</si>
  <si>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</si>
  <si>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</si>
  <si>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</si>
  <si>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</si>
  <si>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</si>
  <si>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</si>
  <si>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</si>
  <si>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</si>
  <si>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</si>
  <si>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</si>
  <si>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</si>
  <si>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</si>
  <si>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</si>
  <si>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</si>
  <si>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</si>
  <si>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</si>
  <si>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</si>
  <si>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</si>
  <si>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</si>
  <si>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</si>
  <si>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</si>
  <si>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</si>
  <si>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</si>
  <si>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</si>
  <si>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</si>
  <si>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</si>
  <si>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</si>
  <si>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</si>
  <si>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</si>
  <si>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</si>
  <si>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</si>
  <si>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</si>
  <si>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</si>
  <si>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</si>
  <si>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</si>
  <si>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</si>
  <si>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</si>
  <si>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</si>
  <si>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</si>
  <si>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</si>
  <si>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</si>
  <si>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</si>
  <si>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</si>
  <si>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</si>
  <si>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</si>
  <si>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</si>
  <si>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</si>
  <si>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</si>
  <si>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</si>
  <si>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</si>
  <si>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</si>
  <si>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</si>
  <si>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</si>
  <si>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</si>
  <si>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</si>
  <si>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</si>
  <si>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</si>
  <si>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</si>
  <si>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</si>
  <si>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</si>
  <si>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</si>
  <si>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</si>
  <si>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</si>
  <si>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</si>
  <si>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</si>
  <si>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</si>
  <si>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</si>
  <si>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</si>
  <si>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</si>
  <si>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</si>
  <si>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</si>
  <si>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</si>
  <si>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</si>
  <si>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</si>
  <si>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</si>
  <si>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</si>
  <si>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</si>
  <si>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</si>
  <si>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</si>
  <si>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</si>
  <si>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</si>
  <si>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</si>
  <si>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</si>
  <si>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</si>
  <si>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</si>
  <si>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</si>
  <si>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</si>
  <si>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</si>
  <si>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</si>
  <si>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</si>
  <si>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</si>
  <si>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</si>
  <si>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</si>
  <si>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</si>
  <si>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</si>
  <si>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</si>
  <si>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</si>
  <si>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</si>
  <si>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</si>
  <si>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</si>
  <si>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</si>
  <si>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</si>
  <si>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</si>
  <si>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</si>
  <si>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</si>
  <si>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</si>
  <si>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</si>
  <si>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</si>
  <si>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</si>
  <si>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</si>
  <si>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</si>
  <si>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</si>
  <si>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</si>
  <si>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</si>
  <si>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</si>
  <si>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</si>
  <si>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</si>
  <si>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</si>
  <si>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</si>
  <si>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</si>
  <si>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</si>
  <si>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</si>
  <si>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</si>
  <si>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</si>
  <si>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</si>
  <si>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</si>
  <si>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</si>
  <si>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</si>
  <si>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</si>
  <si>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</si>
  <si>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</si>
  <si>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</si>
  <si>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</si>
  <si>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</si>
  <si>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</si>
  <si>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</si>
  <si>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</si>
  <si>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</si>
  <si>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</si>
  <si>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</si>
  <si>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</si>
  <si>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</si>
  <si>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</si>
  <si>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</si>
  <si>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</si>
  <si>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</si>
  <si>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</si>
  <si>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</si>
  <si>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</si>
  <si>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</si>
  <si>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</si>
  <si>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</si>
  <si>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</si>
  <si>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</si>
  <si>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</si>
  <si>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</si>
  <si>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</si>
  <si>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</si>
  <si>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</si>
  <si>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</si>
  <si>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</si>
  <si>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</si>
  <si>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</si>
  <si>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</si>
  <si>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</si>
  <si>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</si>
  <si>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</si>
  <si>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</si>
  <si>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</si>
  <si>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</si>
  <si>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</si>
  <si>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</si>
  <si>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</si>
  <si>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</si>
  <si>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</si>
  <si>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</si>
  <si>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</si>
  <si>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</si>
  <si>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</si>
  <si>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</si>
  <si>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</si>
  <si>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</si>
  <si>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</si>
  <si>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</si>
  <si>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</si>
  <si>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</si>
  <si>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</si>
  <si>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</si>
  <si>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</si>
  <si>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</si>
  <si>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</si>
  <si>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</si>
  <si>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</si>
  <si>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</si>
  <si>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</si>
  <si>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</si>
  <si>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</si>
  <si>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</si>
  <si>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</si>
  <si>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</si>
  <si>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</si>
  <si>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</si>
  <si>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</si>
  <si>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</si>
  <si>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</si>
  <si>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</si>
  <si>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</si>
  <si>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</si>
  <si>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</si>
  <si>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</si>
  <si>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</si>
  <si>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</si>
  <si>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</si>
  <si>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</si>
  <si>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</si>
  <si>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</si>
  <si>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</si>
  <si>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</si>
  <si>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</si>
  <si>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</si>
  <si>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</si>
  <si>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</si>
  <si>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</si>
  <si>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</si>
  <si>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</si>
  <si>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</si>
  <si>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</si>
  <si>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</si>
  <si>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</si>
  <si>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</si>
  <si>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</si>
  <si>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</si>
  <si>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</si>
  <si>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</si>
  <si>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</si>
  <si>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</si>
  <si>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</si>
  <si>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</si>
  <si>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</si>
  <si>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</si>
  <si>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</si>
  <si>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</si>
  <si>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</si>
  <si>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</si>
  <si>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</si>
  <si>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</si>
  <si>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</si>
  <si>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</si>
  <si>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</si>
  <si>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</si>
  <si>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</si>
  <si>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</si>
  <si>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</si>
  <si>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</si>
  <si>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</si>
  <si>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</si>
  <si>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</si>
  <si>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</si>
  <si>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</si>
  <si>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</si>
  <si>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</si>
  <si>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</si>
  <si>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</si>
  <si>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</si>
  <si>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</si>
  <si>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</si>
  <si>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</si>
  <si>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</si>
  <si>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</si>
  <si>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</si>
  <si>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</si>
  <si>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</si>
  <si>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</si>
  <si>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</si>
  <si>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</si>
  <si>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</si>
  <si>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</si>
  <si>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</si>
  <si>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</si>
  <si>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</si>
  <si>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</si>
  <si>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</si>
  <si>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</si>
  <si>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</si>
  <si>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</si>
  <si>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</si>
  <si>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</si>
  <si>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</si>
  <si>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</si>
  <si>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</si>
  <si>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</si>
  <si>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</si>
  <si>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</si>
  <si>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</si>
  <si>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</si>
  <si>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</si>
  <si>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</si>
  <si>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</si>
  <si>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</si>
  <si>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</si>
  <si>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</si>
  <si>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</si>
  <si>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</si>
  <si>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</si>
  <si>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</si>
  <si>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</si>
  <si>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</si>
  <si>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</si>
  <si>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</si>
  <si>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</si>
  <si>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</si>
  <si>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</si>
  <si>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</si>
  <si>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</si>
  <si>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</si>
  <si>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</si>
  <si>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</si>
  <si>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</si>
  <si>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</si>
  <si>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</si>
  <si>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</si>
  <si>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</si>
  <si>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</si>
  <si>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</si>
  <si>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</si>
  <si>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</si>
  <si>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</si>
  <si>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</si>
  <si>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</si>
  <si>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</si>
  <si>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</si>
  <si>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</si>
  <si>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</si>
  <si>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</si>
  <si>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</si>
  <si>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</si>
  <si>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</si>
  <si>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</si>
  <si>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</si>
  <si>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</si>
  <si>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</si>
  <si>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</si>
  <si>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</si>
  <si>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</si>
  <si>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</si>
  <si>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</si>
  <si>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</si>
  <si>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</si>
  <si>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</si>
  <si>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</si>
  <si>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</si>
  <si>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</si>
  <si>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</si>
  <si>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</si>
  <si>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</si>
  <si>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</si>
  <si>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</si>
  <si>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</si>
  <si>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</si>
  <si>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</si>
  <si>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</si>
  <si>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</si>
  <si>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</si>
  <si>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</si>
  <si>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</si>
  <si>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</si>
  <si>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</si>
  <si>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</si>
  <si>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</si>
  <si>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</si>
  <si>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</si>
  <si>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</si>
  <si>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</si>
  <si>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</si>
  <si>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</si>
  <si>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</si>
  <si>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</si>
  <si>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</si>
  <si>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</si>
  <si>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</si>
  <si>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</si>
  <si>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</si>
  <si>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</si>
  <si>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</si>
  <si>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</si>
  <si>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</si>
  <si>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</si>
  <si>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</si>
  <si>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</si>
  <si>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</si>
  <si>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</si>
  <si>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</si>
  <si>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</si>
  <si>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</si>
  <si>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</si>
  <si>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</si>
  <si>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</si>
  <si>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</si>
  <si>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</si>
  <si>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</si>
  <si>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</si>
  <si>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</si>
  <si>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</si>
  <si>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</si>
  <si>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</si>
  <si>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</si>
  <si>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</si>
  <si>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</si>
  <si>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</si>
  <si>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</si>
  <si>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</si>
  <si>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</si>
  <si>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</si>
  <si>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</si>
  <si>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</si>
  <si>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</si>
  <si>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</si>
  <si>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</si>
  <si>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</si>
  <si>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</si>
  <si>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</si>
  <si>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</si>
  <si>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</si>
  <si>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</si>
  <si>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</si>
  <si>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</si>
  <si>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</si>
  <si>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</si>
  <si>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</si>
  <si>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</si>
  <si>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</si>
  <si>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</si>
  <si>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</si>
  <si>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</si>
  <si>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</si>
  <si>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</si>
  <si>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</si>
  <si>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</si>
  <si>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</si>
  <si>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</si>
  <si>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</si>
  <si>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</si>
  <si>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</si>
  <si>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</si>
  <si>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</si>
  <si>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</si>
  <si>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</si>
  <si>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</si>
  <si>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</si>
  <si>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</si>
  <si>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</si>
  <si>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</si>
  <si>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</si>
  <si>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</si>
  <si>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</si>
  <si>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</si>
  <si>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</si>
  <si>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</si>
  <si>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</si>
  <si>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</si>
  <si>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</si>
  <si>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</si>
  <si>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</si>
  <si>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</si>
  <si>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</si>
  <si>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</si>
  <si>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</si>
  <si>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</si>
  <si>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</si>
  <si>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</si>
  <si>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</si>
  <si>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</si>
  <si>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</si>
  <si>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</si>
  <si>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</si>
  <si>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</si>
  <si>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</si>
  <si>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</si>
  <si>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</si>
  <si>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</si>
  <si>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</si>
  <si>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</si>
  <si>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</si>
  <si>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</si>
  <si>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</si>
  <si>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</si>
  <si>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</si>
  <si>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</si>
  <si>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</si>
  <si>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</si>
  <si>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</si>
  <si>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</si>
  <si>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</si>
  <si>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</si>
  <si>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</si>
  <si>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</si>
  <si>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</si>
  <si>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</si>
  <si>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</si>
  <si>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</si>
  <si>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</si>
  <si>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</si>
  <si>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</si>
  <si>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</si>
  <si>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</si>
  <si>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</si>
  <si>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</si>
  <si>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</si>
  <si>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</si>
  <si>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</si>
  <si>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</si>
  <si>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</si>
  <si>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</si>
  <si>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</si>
  <si>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</si>
  <si>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</si>
  <si>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</si>
  <si>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</si>
  <si>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</si>
  <si>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</si>
  <si>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</si>
  <si>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</si>
  <si>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</si>
  <si>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</si>
  <si>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</si>
  <si>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</si>
  <si>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</si>
  <si>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</si>
  <si>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</si>
  <si>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</si>
  <si>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</si>
  <si>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</si>
  <si>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</si>
  <si>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</si>
  <si>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</si>
  <si>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</si>
  <si>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</si>
  <si>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</si>
  <si>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</si>
  <si>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</si>
  <si>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</si>
  <si>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</si>
  <si>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</si>
  <si>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</si>
  <si>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</si>
  <si>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</si>
  <si>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</si>
  <si>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</si>
  <si>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</si>
  <si>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</si>
  <si>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</si>
  <si>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</si>
  <si>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</si>
  <si>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</si>
  <si>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</si>
  <si>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</si>
  <si>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</si>
  <si>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</si>
  <si>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</si>
  <si>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</si>
  <si>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</si>
  <si>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</si>
  <si>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</si>
  <si>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</si>
  <si>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</si>
  <si>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</si>
  <si>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</si>
  <si>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</si>
  <si>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</si>
  <si>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</si>
  <si>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</si>
  <si>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</si>
  <si>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</si>
  <si>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</si>
  <si>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</si>
  <si>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</si>
  <si>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</si>
  <si>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</si>
  <si>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</si>
  <si>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</si>
  <si>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</si>
  <si>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</si>
  <si>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</si>
  <si>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</si>
  <si>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</si>
  <si>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</si>
  <si>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</si>
  <si>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</si>
  <si>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</si>
  <si>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</si>
  <si>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</si>
  <si>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</si>
  <si>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</si>
  <si>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</si>
  <si>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</si>
  <si>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</si>
  <si>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</si>
  <si>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</si>
  <si>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</si>
  <si>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</si>
  <si>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</si>
  <si>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</si>
  <si>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</si>
  <si>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</si>
  <si>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</si>
  <si>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</si>
  <si>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</si>
  <si>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</si>
  <si>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</si>
  <si>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</si>
  <si>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</si>
  <si>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</si>
  <si>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</si>
  <si>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</si>
  <si>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</si>
  <si>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</si>
  <si>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</si>
  <si>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</si>
  <si>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</si>
  <si>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</si>
  <si>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</si>
  <si>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</si>
  <si>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</si>
  <si>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</si>
  <si>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</si>
  <si>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</si>
  <si>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</si>
  <si>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</si>
  <si>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</si>
  <si>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</si>
  <si>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</si>
  <si>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</si>
  <si>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</si>
  <si>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</si>
  <si>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</si>
  <si>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</si>
  <si>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</si>
  <si>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</si>
  <si>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</si>
  <si>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</si>
  <si>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</si>
  <si>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</si>
  <si>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</si>
  <si>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</si>
  <si>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</si>
  <si>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</si>
  <si>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</si>
  <si>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</si>
  <si>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</si>
  <si>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</si>
  <si>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</si>
  <si>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</si>
  <si>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</si>
  <si>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</si>
  <si>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</si>
  <si>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</si>
  <si>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</si>
  <si>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</si>
  <si>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</si>
  <si>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</si>
  <si>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</si>
  <si>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</si>
  <si>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</si>
  <si>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</si>
  <si>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</si>
  <si>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</si>
  <si>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</si>
  <si>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</si>
  <si>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</si>
  <si>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</si>
  <si>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</si>
  <si>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</si>
  <si>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</si>
  <si>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</si>
  <si>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</si>
  <si>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</si>
  <si>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</si>
  <si>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</si>
  <si>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</si>
  <si>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</si>
  <si>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</si>
  <si>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</si>
  <si>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</si>
  <si>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</si>
  <si>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</si>
  <si>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</si>
  <si>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</si>
  <si>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</si>
  <si>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</si>
  <si>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</si>
  <si>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</si>
  <si>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</si>
  <si>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</si>
  <si>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</si>
  <si>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</si>
  <si>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</si>
  <si>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</si>
  <si>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</si>
  <si>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</si>
  <si>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</si>
  <si>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</si>
  <si>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</si>
  <si>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</si>
  <si>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</si>
  <si>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</si>
  <si>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</si>
  <si>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</si>
  <si>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</si>
  <si>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</si>
  <si>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</si>
  <si>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</si>
  <si>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</si>
  <si>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</si>
  <si>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</si>
  <si>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</si>
  <si>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</si>
  <si>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</si>
  <si>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</si>
  <si>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</si>
  <si>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</si>
  <si>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</si>
  <si>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</si>
  <si>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</si>
  <si>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</si>
  <si>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</si>
  <si>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</si>
  <si>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</si>
  <si>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</si>
  <si>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</si>
  <si>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</si>
  <si>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</si>
  <si>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</si>
  <si>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</si>
  <si>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</si>
  <si>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</si>
  <si>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</si>
  <si>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</si>
  <si>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</si>
  <si>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</si>
  <si>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</si>
  <si>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</si>
  <si>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</si>
  <si>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</si>
  <si>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</si>
  <si>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</si>
  <si>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</si>
  <si>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</si>
  <si>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</si>
  <si>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</si>
  <si>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</si>
  <si>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</si>
  <si>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</si>
  <si>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</si>
  <si>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</si>
  <si>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</si>
  <si>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</si>
  <si>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</si>
  <si>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</si>
  <si>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</si>
  <si>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</si>
  <si>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</si>
  <si>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</si>
  <si>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</si>
  <si>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</si>
  <si>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</si>
  <si>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</si>
  <si>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</si>
  <si>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</si>
  <si>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</si>
  <si>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</si>
  <si>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</si>
  <si>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</si>
  <si>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</si>
  <si>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</si>
  <si>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</si>
  <si>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</si>
  <si>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</si>
  <si>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</si>
  <si>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</si>
  <si>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</si>
  <si>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</si>
  <si>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</si>
  <si>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</si>
  <si>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</si>
  <si>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</si>
  <si>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</si>
  <si>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</si>
  <si>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</si>
  <si>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</si>
  <si>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</si>
  <si>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</si>
  <si>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</si>
  <si>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</si>
  <si>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</si>
  <si>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</si>
  <si>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</si>
  <si>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</si>
  <si>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</si>
  <si>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</si>
  <si>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</si>
  <si>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</si>
  <si>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</si>
  <si>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</si>
  <si>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</si>
  <si>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</si>
  <si>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</si>
  <si>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</si>
  <si>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</si>
  <si>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</si>
  <si>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</si>
  <si>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</si>
  <si>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</si>
  <si>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</si>
  <si>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</si>
  <si>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</si>
  <si>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</si>
  <si>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</si>
  <si>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</si>
  <si>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</si>
  <si>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</si>
  <si>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</si>
  <si>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</si>
  <si>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</si>
  <si>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</si>
  <si>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</si>
  <si>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</si>
  <si>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</si>
  <si>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</si>
  <si>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</si>
  <si>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</si>
  <si>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</si>
  <si>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</si>
  <si>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</si>
  <si>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</si>
  <si>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</si>
  <si>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</si>
  <si>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</si>
  <si>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</si>
  <si>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</si>
  <si>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</si>
  <si>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</si>
  <si>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</si>
  <si>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</si>
  <si>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</si>
  <si>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</si>
  <si>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</si>
  <si>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</si>
  <si>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</si>
  <si>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</si>
  <si>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</si>
  <si>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</si>
  <si>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</si>
  <si>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</si>
  <si>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</si>
  <si>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</si>
  <si>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</si>
  <si>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</si>
  <si>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</si>
  <si>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</si>
  <si>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</si>
  <si>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</si>
  <si>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</si>
  <si>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</si>
  <si>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</si>
  <si>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</si>
  <si>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</si>
  <si>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</si>
  <si>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</si>
  <si>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</si>
  <si>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</si>
  <si>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</si>
  <si>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</si>
  <si>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</si>
  <si>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</si>
  <si>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</si>
  <si>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</si>
  <si>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</si>
  <si>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</si>
  <si>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</si>
  <si>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</si>
  <si>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</si>
  <si>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</si>
  <si>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</si>
  <si>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</si>
  <si>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</si>
  <si>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</si>
  <si>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</si>
  <si>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</si>
  <si>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</si>
  <si>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</si>
  <si>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</si>
  <si>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</si>
  <si>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</si>
  <si>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</si>
  <si>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</si>
  <si>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</si>
  <si>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</si>
  <si>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</si>
  <si>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</si>
  <si>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</si>
  <si>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</si>
  <si>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</si>
  <si>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</si>
  <si>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</si>
  <si>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</si>
  <si>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</si>
  <si>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</si>
  <si>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</si>
  <si>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</si>
  <si>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</si>
  <si>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</si>
  <si>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</si>
  <si>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</si>
  <si>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</si>
  <si>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</si>
  <si>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</si>
  <si>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</si>
  <si>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</si>
  <si>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</si>
  <si>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</si>
  <si>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</si>
  <si>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</si>
  <si>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</si>
  <si>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</si>
  <si>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</si>
  <si>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</si>
  <si>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</si>
  <si>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</si>
  <si>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</si>
  <si>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</si>
  <si>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</si>
  <si>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</si>
  <si>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</si>
  <si>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</si>
  <si>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</si>
  <si>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</si>
  <si>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</si>
  <si>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</si>
  <si>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</si>
  <si>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</si>
  <si>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</si>
  <si>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</si>
  <si>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</si>
  <si>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</si>
  <si>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</si>
  <si>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</si>
  <si>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</si>
  <si>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</si>
  <si>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</si>
  <si>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</si>
  <si>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</si>
  <si>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</si>
  <si>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</si>
  <si>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</si>
  <si>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</si>
  <si>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</si>
  <si>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</si>
  <si>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</si>
  <si>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</si>
  <si>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</si>
  <si>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</si>
  <si>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</si>
  <si>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</si>
  <si>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</si>
  <si>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</si>
  <si>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</si>
  <si>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</si>
  <si>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</si>
  <si>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</si>
  <si>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</si>
  <si>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</si>
  <si>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</si>
  <si>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</si>
  <si>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</si>
  <si>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</si>
  <si>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</si>
  <si>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</si>
  <si>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</si>
  <si>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</si>
  <si>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</si>
  <si>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</si>
  <si>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</si>
  <si>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</si>
  <si>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</si>
  <si>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</si>
  <si>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</si>
  <si>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</si>
  <si>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</si>
  <si>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</si>
  <si>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</si>
  <si>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</si>
  <si>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</si>
  <si>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</si>
  <si>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</si>
  <si>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</si>
  <si>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</si>
  <si>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</si>
  <si>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</si>
  <si>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</si>
  <si>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</si>
  <si>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</si>
  <si>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</si>
  <si>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</si>
  <si>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</si>
  <si>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</si>
  <si>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</si>
  <si>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</si>
  <si>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</si>
  <si>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</si>
  <si>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</si>
  <si>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</si>
  <si>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</si>
  <si>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</si>
  <si>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</si>
  <si>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</si>
  <si>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</si>
  <si>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</si>
  <si>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</si>
  <si>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</si>
  <si>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</si>
  <si>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</si>
  <si>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</si>
  <si>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</si>
  <si>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</si>
  <si>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</si>
  <si>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</si>
  <si>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</si>
  <si>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</si>
  <si>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</si>
  <si>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</si>
  <si>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</si>
  <si>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</si>
  <si>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</si>
  <si>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</si>
  <si>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</si>
  <si>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</si>
  <si>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</si>
  <si>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</si>
  <si>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</si>
  <si>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</si>
  <si>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</si>
  <si>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</si>
  <si>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</si>
  <si>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</si>
  <si>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</si>
  <si>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</si>
  <si>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</si>
  <si>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</si>
  <si>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</si>
  <si>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</si>
  <si>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</si>
  <si>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</si>
  <si>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</si>
  <si>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</si>
  <si>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</si>
  <si>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</si>
  <si>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</si>
  <si>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</si>
  <si>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</si>
  <si>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</si>
  <si>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</si>
  <si>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</si>
  <si>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</si>
  <si>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</si>
  <si>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</si>
  <si>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</si>
  <si>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</si>
  <si>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</si>
  <si>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</si>
  <si>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</si>
  <si>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</si>
  <si>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</si>
  <si>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</si>
  <si>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</si>
  <si>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</si>
  <si>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</si>
  <si>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</si>
  <si>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</si>
  <si>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</si>
  <si>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</si>
  <si>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</si>
  <si>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</si>
  <si>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</si>
  <si>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</si>
  <si>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</si>
  <si>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</si>
  <si>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</si>
  <si>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</si>
  <si>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</si>
  <si>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</si>
  <si>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</si>
  <si>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</si>
  <si>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</si>
  <si>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</si>
  <si>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</si>
  <si>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</si>
  <si>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</si>
  <si>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</si>
  <si>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</si>
  <si>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</si>
  <si>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</si>
  <si>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</si>
  <si>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</si>
  <si>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</si>
  <si>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</si>
  <si>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</si>
  <si>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</si>
  <si>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</si>
  <si>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</si>
  <si>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</si>
  <si>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</si>
  <si>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</si>
  <si>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</si>
  <si>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</si>
  <si>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</si>
  <si>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</si>
  <si>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</si>
  <si>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</si>
  <si>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</si>
  <si>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</si>
  <si>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</si>
  <si>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</si>
  <si>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</si>
  <si>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</si>
  <si>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</si>
  <si>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</si>
  <si>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</si>
  <si>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</si>
  <si>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</si>
  <si>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</si>
  <si>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</si>
  <si>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</si>
  <si>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</si>
  <si>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</si>
  <si>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</si>
  <si>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</si>
  <si>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</si>
  <si>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</si>
  <si>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</si>
  <si>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</si>
  <si>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</si>
  <si>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</si>
  <si>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</si>
  <si>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</si>
  <si>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</si>
  <si>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</si>
  <si>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</si>
  <si>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</si>
  <si>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</si>
  <si>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</si>
  <si>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</si>
  <si>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</si>
  <si>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</si>
  <si>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</si>
  <si>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</si>
  <si>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</si>
  <si>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</si>
  <si>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</si>
  <si>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</si>
  <si>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</si>
  <si>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</si>
  <si>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</si>
  <si>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</si>
  <si>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</si>
  <si>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</si>
  <si>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</si>
  <si>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</si>
  <si>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</si>
  <si>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</si>
  <si>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</si>
  <si>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</si>
  <si>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</si>
  <si>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</si>
  <si>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</si>
  <si>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</si>
  <si>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</si>
  <si>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</si>
  <si>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</si>
  <si>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</si>
  <si>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</si>
  <si>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</si>
  <si>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</si>
  <si>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</si>
  <si>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</si>
  <si>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</si>
  <si>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</si>
  <si>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</si>
  <si>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</si>
  <si>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</si>
  <si>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</si>
  <si>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</si>
  <si>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</si>
  <si>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</si>
  <si>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</si>
  <si>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</si>
  <si>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</si>
  <si>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</si>
  <si>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</si>
  <si>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</si>
  <si>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</si>
  <si>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</si>
  <si>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</si>
  <si>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</si>
  <si>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</si>
  <si>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</si>
  <si>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</si>
  <si>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</si>
  <si>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</si>
  <si>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</si>
  <si>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</si>
  <si>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</si>
  <si>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</si>
  <si>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</si>
  <si>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</si>
  <si>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</si>
  <si>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</si>
  <si>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</si>
  <si>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</si>
  <si>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</si>
  <si>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</si>
  <si>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</si>
  <si>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</si>
  <si>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</si>
  <si>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</si>
  <si>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</si>
  <si>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</si>
  <si>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</si>
  <si>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</si>
  <si>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</si>
  <si>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</si>
  <si>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</si>
  <si>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</si>
  <si>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</si>
  <si>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</si>
  <si>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</si>
  <si>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</si>
  <si>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</si>
  <si>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</si>
  <si>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</si>
  <si>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</si>
  <si>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</si>
  <si>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</si>
  <si>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</si>
  <si>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</si>
  <si>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</si>
  <si>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</si>
  <si>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</si>
  <si>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</si>
  <si>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</si>
  <si>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</si>
  <si>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</si>
  <si>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</si>
  <si>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</si>
  <si>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</si>
  <si>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</si>
  <si>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</si>
  <si>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</si>
  <si>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</si>
  <si>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</si>
  <si>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</si>
  <si>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</si>
  <si>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</si>
  <si>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</si>
  <si>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</si>
  <si>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</si>
  <si>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</si>
  <si>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</si>
  <si>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</si>
  <si>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</si>
  <si>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</si>
  <si>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</si>
  <si>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</si>
  <si>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</si>
  <si>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</si>
  <si>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</si>
  <si>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</si>
  <si>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</si>
  <si>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</si>
  <si>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</si>
  <si>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</si>
  <si>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</si>
  <si>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</si>
  <si>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</si>
  <si>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</si>
  <si>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</si>
  <si>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</si>
  <si>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</si>
  <si>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</si>
  <si>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</si>
  <si>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</si>
  <si>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</si>
  <si>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</si>
  <si>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</si>
  <si>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</si>
  <si>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</si>
  <si>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</si>
  <si>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</si>
  <si>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</si>
  <si>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</si>
  <si>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</si>
  <si>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</si>
  <si>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</si>
  <si>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</si>
  <si>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</si>
  <si>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</si>
  <si>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</si>
  <si>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</si>
  <si>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</si>
  <si>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</si>
  <si>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</si>
  <si>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</si>
  <si>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</si>
  <si>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</si>
  <si>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</si>
  <si>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</si>
  <si>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</si>
  <si>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</si>
  <si>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</si>
  <si>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</si>
  <si>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</si>
  <si>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</si>
  <si>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</si>
  <si>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</si>
  <si>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</si>
  <si>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</si>
  <si>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</si>
  <si>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</si>
  <si>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</si>
  <si>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</si>
  <si>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</si>
  <si>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</si>
  <si>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</si>
  <si>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</si>
  <si>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</si>
  <si>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</si>
  <si>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</si>
  <si>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</si>
  <si>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</si>
  <si>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</si>
  <si>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</si>
  <si>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</si>
  <si>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</si>
  <si>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</si>
  <si>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</si>
  <si>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</si>
  <si>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</si>
  <si>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</si>
  <si>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</si>
  <si>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</si>
  <si>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</si>
  <si>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</si>
  <si>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</si>
  <si>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</si>
  <si>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</si>
  <si>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</si>
  <si>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</si>
  <si>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</si>
  <si>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</si>
  <si>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</si>
  <si>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</si>
  <si>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</si>
  <si>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</si>
  <si>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</si>
  <si>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</si>
  <si>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</si>
  <si>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</si>
  <si>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</si>
  <si>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</si>
  <si>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</si>
  <si>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</si>
  <si>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</si>
  <si>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</si>
  <si>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</si>
  <si>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</si>
  <si>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</si>
  <si>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</si>
  <si>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</si>
  <si>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</si>
  <si>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</si>
  <si>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</si>
  <si>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</si>
  <si>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</si>
  <si>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</si>
  <si>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</si>
  <si>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</si>
  <si>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</si>
  <si>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</si>
  <si>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</si>
  <si>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</si>
  <si>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</si>
  <si>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</si>
  <si>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</si>
  <si>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</si>
  <si>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</si>
  <si>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</si>
  <si>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</si>
  <si>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</si>
  <si>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</si>
  <si>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</si>
  <si>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</si>
  <si>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</si>
  <si>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</si>
  <si>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</si>
  <si>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</si>
  <si>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</si>
  <si>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</si>
  <si>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</si>
  <si>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</si>
  <si>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</si>
  <si>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</si>
  <si>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</si>
  <si>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</si>
  <si>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</si>
  <si>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</si>
  <si>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</si>
  <si>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</si>
  <si>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</si>
  <si>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</si>
  <si>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</si>
  <si>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</si>
  <si>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</si>
  <si>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</si>
  <si>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</si>
  <si>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</si>
  <si>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</si>
  <si>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</si>
  <si>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</si>
  <si>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</si>
  <si>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</si>
  <si>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</si>
  <si>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</si>
  <si>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</si>
  <si>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</si>
  <si>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</si>
  <si>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</si>
  <si>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</si>
  <si>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</si>
  <si>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</si>
  <si>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</si>
  <si>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</si>
  <si>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</si>
  <si>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</si>
  <si>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</si>
  <si>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</si>
  <si>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</si>
  <si>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</si>
  <si>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</si>
  <si>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</si>
  <si>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</si>
  <si>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</si>
  <si>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</si>
  <si>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</si>
  <si>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</si>
  <si>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</si>
  <si>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</si>
  <si>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</si>
  <si>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</si>
  <si>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</si>
  <si>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</si>
  <si>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</si>
  <si>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</si>
  <si>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</si>
  <si>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</si>
  <si>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</si>
  <si>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</si>
  <si>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</si>
  <si>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</si>
  <si>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</si>
  <si>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</si>
  <si>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</si>
  <si>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</si>
  <si>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</si>
  <si>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</si>
  <si>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</si>
  <si>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</si>
  <si>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</si>
  <si>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</si>
  <si>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</si>
  <si>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</si>
  <si>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</si>
  <si>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</si>
  <si>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</si>
  <si>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</si>
  <si>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</si>
  <si>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</si>
  <si>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</si>
  <si>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</si>
  <si>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</si>
  <si>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</si>
  <si>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</si>
  <si>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</si>
  <si>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</si>
  <si>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</si>
  <si>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</si>
  <si>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</si>
  <si>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</si>
  <si>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</si>
  <si>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</si>
  <si>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</si>
  <si>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</si>
  <si>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</si>
  <si>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</si>
  <si>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</si>
  <si>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</si>
  <si>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</si>
  <si>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</si>
  <si>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</si>
  <si>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</si>
  <si>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</si>
  <si>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</si>
  <si>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</si>
  <si>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</si>
  <si>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</si>
  <si>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</si>
  <si>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</si>
  <si>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</si>
  <si>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</si>
  <si>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</si>
  <si>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</si>
  <si>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</si>
  <si>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</si>
  <si>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</si>
  <si>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</si>
  <si>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</si>
  <si>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</si>
  <si>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</si>
  <si>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</si>
  <si>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</si>
  <si>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</si>
  <si>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</si>
  <si>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</si>
  <si>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</si>
  <si>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</si>
  <si>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</si>
  <si>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</si>
  <si>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</si>
  <si>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</si>
  <si>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</si>
  <si>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</si>
  <si>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</si>
  <si>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</si>
  <si>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</si>
  <si>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</si>
  <si>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</si>
  <si>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</si>
  <si>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</si>
  <si>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</si>
  <si>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</si>
  <si>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</si>
  <si>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</si>
  <si>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</si>
  <si>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</si>
  <si>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</si>
  <si>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</si>
  <si>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</si>
  <si>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</si>
  <si>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</si>
  <si>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</si>
  <si>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</si>
  <si>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</si>
  <si>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</si>
  <si>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</si>
  <si>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</si>
  <si>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</si>
  <si>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</si>
  <si>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</si>
  <si>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</si>
  <si>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</si>
  <si>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</si>
  <si>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</si>
  <si>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</si>
  <si>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</si>
  <si>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</si>
  <si>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</si>
  <si>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</si>
  <si>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</si>
  <si>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</si>
  <si>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</si>
  <si>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</si>
  <si>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</si>
  <si>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</si>
  <si>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</si>
  <si>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</si>
  <si>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</si>
  <si>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</si>
  <si>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</si>
  <si>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</si>
  <si>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</si>
  <si>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</si>
  <si>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</si>
  <si>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</si>
  <si>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</si>
  <si>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</si>
  <si>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</si>
  <si>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</si>
  <si>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</si>
  <si>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</si>
  <si>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</si>
  <si>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</si>
  <si>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</si>
  <si>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</si>
  <si>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</si>
  <si>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</si>
  <si>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</si>
  <si>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</si>
  <si>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</si>
  <si>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</si>
  <si>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</si>
  <si>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</si>
  <si>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</si>
  <si>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</si>
  <si>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</si>
  <si>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</si>
  <si>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</si>
  <si>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</si>
  <si>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</si>
  <si>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</si>
  <si>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</si>
  <si>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</si>
  <si>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</si>
  <si>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</si>
  <si>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</si>
  <si>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</si>
  <si>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</si>
  <si>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</si>
  <si>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</si>
  <si>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</si>
  <si>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</si>
  <si>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</si>
  <si>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</si>
  <si>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</si>
  <si>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</si>
  <si>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</si>
  <si>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</si>
  <si>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</si>
  <si>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</si>
  <si>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</si>
  <si>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</si>
  <si>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</si>
  <si>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</si>
  <si>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</si>
  <si>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</si>
  <si>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</si>
  <si>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</si>
  <si>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</si>
  <si>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</si>
  <si>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</si>
  <si>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</si>
  <si>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</si>
  <si>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</si>
  <si>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</si>
  <si>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</si>
  <si>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</si>
  <si>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</si>
  <si>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</si>
  <si>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</si>
  <si>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</si>
  <si>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</si>
  <si>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</si>
  <si>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</si>
  <si>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</si>
  <si>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</si>
  <si>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</si>
  <si>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</si>
  <si>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</si>
  <si>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</si>
  <si>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</si>
  <si>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</si>
  <si>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</si>
  <si>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</si>
  <si>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</si>
  <si>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</si>
  <si>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</si>
  <si>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</si>
  <si>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</si>
  <si>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</si>
  <si>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</si>
  <si>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</si>
  <si>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</si>
  <si>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</si>
  <si>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</si>
  <si>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</si>
  <si>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</si>
  <si>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</si>
  <si>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</si>
  <si>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</si>
  <si>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</si>
  <si>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</si>
  <si>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</si>
  <si>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</si>
  <si>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</si>
  <si>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</si>
  <si>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</si>
  <si>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</si>
  <si>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</si>
  <si>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</si>
  <si>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</si>
  <si>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</si>
  <si>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</si>
  <si>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</si>
  <si>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</si>
  <si>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</si>
  <si>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</si>
  <si>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</si>
  <si>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</si>
  <si>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</si>
  <si>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</si>
  <si>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</si>
  <si>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</si>
  <si>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</si>
  <si>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</si>
  <si>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</si>
  <si>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</si>
  <si>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</si>
  <si>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</si>
  <si>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</si>
  <si>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</si>
  <si>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</si>
  <si>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</si>
  <si>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</si>
  <si>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</si>
  <si>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</si>
  <si>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</si>
  <si>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</si>
  <si>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</si>
  <si>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</si>
  <si>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</si>
  <si>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</si>
  <si>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</si>
  <si>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</si>
  <si>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</si>
  <si>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</si>
  <si>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</si>
  <si>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</si>
  <si>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</si>
  <si>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</si>
  <si>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</si>
  <si>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</si>
  <si>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</si>
  <si>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</si>
  <si>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</si>
  <si>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</si>
  <si>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</si>
  <si>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</si>
  <si>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</si>
  <si>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</si>
  <si>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</si>
  <si>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</si>
  <si>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</si>
  <si>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</si>
  <si>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</si>
  <si>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</si>
  <si>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</si>
  <si>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</si>
  <si>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</si>
  <si>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</si>
  <si>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</si>
  <si>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</si>
  <si>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</si>
  <si>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</si>
  <si>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</si>
  <si>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</si>
  <si>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</si>
  <si>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</si>
  <si>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</si>
  <si>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</si>
  <si>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</si>
  <si>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</si>
  <si>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</si>
  <si>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</si>
  <si>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</si>
  <si>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</si>
  <si>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</si>
  <si>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</si>
  <si>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</si>
  <si>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</si>
  <si>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</si>
  <si>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</si>
  <si>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</si>
  <si>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</si>
  <si>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</si>
  <si>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</si>
  <si>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</si>
  <si>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</si>
  <si>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</si>
  <si>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</si>
  <si>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</si>
  <si>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</si>
  <si>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</si>
  <si>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</si>
  <si>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</si>
  <si>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</si>
  <si>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</si>
  <si>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</si>
  <si>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</si>
  <si>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</si>
  <si>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</si>
  <si>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</si>
  <si>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</si>
  <si>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</si>
  <si>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</si>
  <si>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</si>
  <si>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</si>
  <si>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</si>
  <si>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</si>
  <si>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</si>
  <si>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</si>
  <si>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</si>
  <si>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</si>
  <si>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</si>
  <si>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</si>
  <si>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</si>
  <si>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</si>
  <si>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</si>
  <si>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</si>
  <si>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</si>
  <si>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</si>
  <si>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</si>
  <si>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</si>
  <si>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</si>
  <si>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</si>
  <si>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</si>
  <si>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</si>
  <si>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</si>
  <si>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</si>
  <si>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</si>
  <si>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</si>
  <si>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</si>
  <si>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</si>
  <si>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</si>
  <si>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</si>
  <si>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</si>
  <si>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</si>
  <si>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</si>
  <si>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</si>
  <si>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</si>
  <si>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</si>
  <si>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</si>
  <si>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</si>
  <si>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</si>
  <si>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</si>
  <si>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</si>
  <si>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</si>
  <si>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</si>
  <si>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</si>
  <si>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</si>
  <si>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</si>
  <si>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</si>
  <si>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</si>
  <si>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</si>
  <si>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</si>
  <si>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</si>
  <si>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</si>
  <si>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</si>
  <si>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</si>
  <si>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</si>
  <si>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</si>
  <si>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</si>
  <si>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</si>
  <si>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</si>
  <si>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</si>
  <si>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</si>
  <si>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</si>
  <si>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</si>
  <si>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</si>
  <si>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</si>
  <si>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</si>
  <si>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</si>
  <si>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</si>
  <si>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</si>
  <si>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</si>
  <si>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</si>
  <si>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</si>
  <si>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</si>
  <si>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</si>
  <si>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</si>
  <si>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</si>
  <si>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</si>
  <si>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</si>
  <si>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</si>
  <si>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</si>
  <si>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</si>
  <si>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</si>
  <si>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</si>
  <si>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</si>
  <si>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</si>
  <si>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</si>
  <si>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</si>
  <si>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</si>
  <si>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</si>
  <si>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</si>
  <si>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</si>
  <si>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</si>
  <si>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</si>
  <si>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</si>
  <si>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</si>
  <si>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</si>
  <si>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</si>
  <si>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</si>
  <si>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</si>
  <si>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</si>
  <si>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</si>
  <si>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</si>
  <si>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</si>
  <si>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</si>
  <si>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</si>
  <si>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</si>
  <si>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</si>
  <si>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</si>
  <si>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</si>
  <si>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</si>
  <si>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</si>
  <si>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</si>
  <si>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</si>
  <si>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</si>
  <si>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</si>
  <si>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</si>
  <si>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</si>
  <si>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</si>
  <si>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</si>
  <si>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</si>
  <si>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</si>
  <si>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</si>
  <si>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</si>
  <si>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</si>
  <si>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</si>
  <si>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</si>
  <si>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</si>
  <si>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</si>
  <si>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</si>
  <si>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</si>
  <si>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</si>
  <si>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</si>
  <si>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</si>
  <si>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</si>
  <si>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</si>
  <si>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</si>
  <si>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</si>
  <si>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</si>
  <si>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</si>
  <si>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</si>
  <si>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</si>
  <si>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</si>
  <si>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</si>
  <si>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</si>
  <si>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</si>
  <si>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</si>
  <si>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</si>
  <si>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</si>
  <si>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</si>
  <si>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</si>
  <si>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</si>
  <si>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</si>
  <si>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</si>
  <si>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</si>
  <si>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</si>
  <si>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</si>
  <si>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</si>
  <si>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</si>
  <si>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</si>
  <si>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</si>
  <si>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</si>
  <si>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</si>
  <si>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</si>
  <si>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</si>
  <si>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</si>
  <si>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</si>
  <si>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</si>
  <si>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</si>
  <si>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</si>
  <si>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</si>
  <si>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</si>
  <si>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</si>
  <si>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</si>
  <si>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</si>
  <si>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</si>
  <si>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</si>
  <si>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</si>
  <si>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</si>
  <si>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</si>
  <si>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</si>
  <si>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</si>
  <si>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</si>
  <si>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</si>
  <si>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</si>
  <si>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</si>
  <si>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</si>
  <si>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</si>
  <si>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</si>
  <si>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</si>
  <si>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</si>
  <si>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</si>
  <si>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</si>
  <si>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</si>
  <si>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</si>
  <si>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</si>
  <si>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</si>
  <si>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</si>
  <si>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</si>
  <si>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</si>
  <si>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</si>
  <si>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</si>
  <si>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</si>
  <si>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</si>
  <si>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</si>
  <si>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</si>
  <si>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</si>
  <si>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</si>
  <si>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</si>
  <si>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</si>
  <si>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</si>
  <si>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</si>
  <si>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</si>
  <si>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</si>
  <si>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</si>
  <si>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</si>
  <si>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</si>
  <si>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</si>
  <si>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</si>
  <si>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</si>
  <si>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</si>
  <si>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</si>
  <si>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</si>
  <si>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</si>
  <si>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</si>
  <si>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</si>
  <si>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</si>
  <si>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</si>
  <si>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</si>
  <si>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</si>
  <si>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</si>
  <si>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</si>
  <si>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</si>
  <si>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</si>
  <si>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</si>
  <si>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</si>
  <si>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</si>
  <si>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</si>
  <si>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</si>
  <si>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</si>
  <si>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</si>
  <si>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</si>
  <si>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</si>
  <si>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</si>
  <si>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</si>
  <si>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</si>
  <si>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</si>
  <si>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</si>
  <si>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</si>
  <si>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</si>
  <si>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</si>
  <si>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</si>
  <si>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</si>
  <si>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</si>
  <si>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</si>
  <si>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</si>
  <si>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</si>
  <si>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</si>
  <si>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</si>
  <si>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</si>
  <si>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</si>
  <si>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</si>
  <si>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</si>
  <si>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</si>
  <si>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</si>
  <si>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</si>
  <si>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</si>
  <si>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</si>
  <si>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</si>
  <si>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</si>
  <si>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</si>
  <si>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</si>
  <si>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</si>
  <si>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</si>
  <si>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</si>
  <si>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</si>
  <si>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</si>
  <si>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</si>
  <si>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</si>
  <si>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</si>
  <si>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</si>
  <si>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</si>
  <si>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</si>
  <si>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</si>
  <si>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</si>
  <si>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</si>
  <si>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</si>
  <si>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</si>
  <si>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</si>
  <si>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</si>
  <si>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</si>
  <si>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</si>
  <si>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</si>
  <si>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</si>
  <si>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</si>
  <si>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</si>
  <si>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</si>
  <si>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</si>
  <si>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</si>
  <si>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</si>
  <si>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</si>
  <si>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</si>
  <si>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</si>
  <si>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</si>
  <si>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</si>
  <si>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</si>
  <si>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</si>
  <si>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</si>
  <si>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</si>
  <si>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</si>
  <si>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</si>
  <si>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</si>
  <si>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</si>
  <si>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</si>
  <si>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</si>
  <si>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</si>
  <si>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</si>
  <si>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</si>
  <si>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</si>
  <si>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</si>
  <si>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</si>
  <si>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</si>
  <si>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</si>
  <si>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</si>
  <si>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</si>
  <si>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</si>
  <si>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</si>
  <si>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</si>
  <si>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</si>
  <si>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</si>
  <si>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</si>
  <si>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</si>
  <si>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</si>
  <si>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</si>
  <si>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</si>
  <si>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</si>
  <si>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</si>
  <si>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</si>
  <si>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</si>
  <si>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</si>
  <si>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</si>
  <si>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</si>
  <si>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</si>
  <si>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</si>
  <si>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</si>
  <si>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</si>
  <si>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</si>
  <si>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</si>
  <si>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</si>
  <si>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</si>
  <si>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</si>
  <si>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</si>
  <si>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</si>
  <si>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</si>
  <si>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</si>
  <si>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</si>
  <si>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</si>
  <si>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</si>
  <si>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</si>
  <si>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</si>
  <si>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</si>
  <si>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</si>
  <si>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</si>
  <si>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</si>
  <si>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</si>
  <si>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</si>
  <si>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</si>
  <si>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</si>
  <si>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</si>
  <si>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</si>
  <si>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</si>
  <si>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</si>
  <si>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</si>
  <si>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</si>
  <si>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</si>
  <si>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</si>
  <si>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</si>
  <si>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</si>
  <si>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</si>
  <si>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</si>
  <si>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</si>
  <si>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</si>
  <si>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</si>
  <si>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</si>
  <si>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</si>
  <si>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</si>
  <si>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</si>
  <si>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</si>
  <si>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</si>
  <si>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</si>
  <si>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</si>
  <si>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</si>
  <si>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</si>
  <si>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</si>
  <si>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</si>
  <si>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</si>
  <si>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</si>
  <si>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</si>
  <si>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</si>
  <si>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</si>
  <si>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</si>
  <si>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</si>
  <si>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</si>
  <si>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</si>
  <si>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</si>
  <si>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</si>
  <si>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</si>
  <si>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</si>
  <si>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</si>
  <si>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</si>
  <si>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</si>
  <si>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</si>
  <si>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</si>
  <si>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</si>
  <si>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</si>
  <si>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</si>
  <si>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</si>
  <si>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</si>
  <si>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</si>
  <si>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</si>
  <si>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</si>
  <si>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</si>
  <si>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</si>
  <si>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</si>
  <si>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</si>
  <si>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</si>
  <si>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</si>
  <si>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</si>
  <si>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</si>
  <si>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</si>
  <si>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</si>
  <si>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</si>
  <si>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</si>
  <si>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</si>
  <si>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</si>
  <si>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</si>
  <si>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</si>
  <si>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</si>
  <si>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</si>
  <si>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</si>
  <si>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</si>
  <si>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</si>
  <si>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</si>
  <si>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</si>
  <si>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</si>
  <si>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</si>
  <si>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</si>
  <si>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</si>
  <si>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</si>
  <si>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</si>
  <si>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</si>
  <si>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</si>
  <si>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</si>
  <si>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</si>
  <si>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</si>
  <si>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</si>
  <si>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</si>
  <si>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</si>
  <si>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</si>
  <si>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</si>
  <si>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</si>
  <si>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</si>
  <si>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</si>
  <si>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</si>
  <si>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</si>
  <si>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</si>
  <si>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</si>
  <si>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</si>
  <si>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</si>
  <si>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</si>
  <si>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</si>
  <si>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</si>
  <si>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</si>
  <si>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</si>
  <si>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</si>
  <si>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</si>
  <si>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</si>
  <si>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</si>
  <si>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</si>
  <si>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</si>
  <si>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</si>
  <si>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</si>
  <si>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</si>
  <si>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</si>
  <si>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</si>
  <si>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</si>
  <si>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</si>
  <si>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</si>
  <si>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</si>
  <si>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</si>
  <si>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</si>
  <si>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</si>
  <si>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</si>
  <si>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</si>
  <si>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</si>
  <si>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</si>
  <si>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</si>
  <si>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</si>
  <si>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</si>
  <si>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</si>
  <si>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</si>
  <si>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</si>
  <si>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</si>
  <si>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</si>
  <si>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</si>
  <si>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</si>
  <si>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</si>
  <si>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</si>
  <si>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</si>
  <si>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</si>
  <si>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</si>
  <si>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</si>
  <si>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</si>
  <si>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</si>
  <si>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</si>
  <si>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</si>
  <si>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</si>
  <si>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</si>
  <si>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</si>
  <si>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</si>
  <si>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</si>
  <si>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</si>
  <si>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</si>
  <si>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</si>
  <si>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</si>
  <si>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</si>
  <si>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</si>
  <si>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</si>
  <si>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</si>
  <si>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</si>
  <si>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</si>
  <si>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</si>
  <si>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</si>
  <si>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</si>
  <si>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</si>
  <si>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</si>
  <si>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</si>
  <si>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</si>
  <si>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</si>
  <si>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</si>
  <si>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</si>
  <si>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</si>
  <si>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</si>
  <si>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</si>
  <si>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</si>
  <si>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</si>
  <si>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</si>
  <si>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</si>
  <si>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</si>
  <si>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</si>
  <si>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</si>
  <si>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</si>
  <si>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</si>
  <si>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</si>
  <si>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</si>
  <si>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</si>
  <si>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</si>
  <si>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</si>
  <si>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</si>
  <si>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</si>
  <si>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</si>
  <si>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</si>
  <si>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</si>
  <si>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</si>
  <si>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</si>
  <si>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</si>
  <si>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</si>
  <si>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</si>
  <si>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</si>
  <si>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</si>
  <si>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</si>
  <si>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</si>
  <si>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</si>
  <si>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</si>
  <si>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</si>
  <si>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</si>
  <si>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</si>
  <si>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</si>
  <si>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</si>
  <si>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</si>
  <si>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</si>
  <si>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</si>
  <si>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</si>
  <si>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</si>
  <si>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</si>
  <si>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</si>
  <si>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</si>
  <si>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</si>
  <si>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</si>
  <si>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</si>
  <si>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</si>
  <si>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</si>
  <si>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</si>
  <si>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</si>
  <si>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</si>
  <si>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</si>
  <si>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</si>
  <si>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</si>
  <si>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</si>
  <si>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</si>
  <si>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</si>
  <si>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</si>
  <si>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</si>
  <si>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</si>
  <si>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</si>
  <si>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</si>
  <si>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</si>
  <si>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</si>
  <si>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</si>
  <si>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</si>
  <si>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</si>
  <si>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</si>
  <si>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</si>
  <si>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</si>
  <si>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</si>
  <si>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</si>
  <si>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</si>
  <si>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</si>
  <si>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</si>
  <si>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</si>
  <si>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</si>
  <si>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</si>
  <si>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</si>
  <si>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</si>
  <si>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</si>
  <si>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</si>
  <si>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</si>
  <si>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</si>
  <si>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</si>
  <si>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</si>
  <si>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</si>
  <si>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</si>
  <si>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</si>
  <si>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</si>
  <si>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</si>
  <si>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</si>
  <si>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</si>
  <si>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</si>
  <si>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</si>
  <si>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</si>
  <si>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</si>
  <si>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</si>
  <si>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</si>
  <si>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</si>
  <si>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</si>
  <si>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</si>
  <si>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</si>
  <si>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</si>
  <si>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</si>
  <si>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</si>
  <si>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</si>
  <si>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</si>
  <si>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</si>
  <si>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</si>
  <si>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</si>
  <si>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</si>
  <si>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</si>
  <si>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</si>
  <si>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</si>
  <si>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</si>
  <si>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</si>
  <si>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</si>
  <si>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</si>
  <si>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</si>
  <si>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</si>
  <si>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</si>
  <si>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</si>
  <si>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</si>
  <si>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</si>
  <si>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</si>
  <si>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</si>
  <si>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</si>
  <si>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</si>
  <si>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</si>
  <si>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</si>
  <si>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</si>
  <si>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</si>
  <si>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</si>
  <si>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</si>
  <si>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</si>
  <si>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</si>
  <si>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</si>
  <si>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</si>
  <si>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</si>
  <si>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</si>
  <si>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</si>
  <si>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</si>
  <si>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</si>
  <si>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</si>
  <si>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</si>
  <si>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</si>
  <si>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</si>
  <si>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</si>
  <si>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</si>
  <si>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</si>
  <si>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</si>
  <si>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</si>
  <si>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</si>
  <si>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</si>
  <si>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</si>
  <si>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</si>
  <si>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</si>
  <si>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</si>
  <si>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</si>
  <si>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</si>
  <si>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</si>
  <si>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</si>
  <si>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</si>
  <si>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</si>
  <si>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</si>
  <si>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</si>
  <si>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</si>
  <si>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</si>
  <si>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</si>
  <si>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</si>
  <si>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</si>
  <si>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</si>
  <si>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</si>
  <si>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</si>
  <si>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</si>
  <si>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</si>
  <si>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</si>
  <si>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</si>
  <si>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</si>
  <si>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</si>
  <si>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</si>
  <si>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</si>
  <si>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</si>
  <si>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</si>
  <si>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</si>
  <si>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</si>
  <si>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</si>
  <si>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</si>
  <si>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</si>
  <si>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</si>
  <si>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</si>
  <si>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</si>
  <si>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</si>
  <si>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</si>
  <si>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</si>
  <si>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</si>
  <si>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</si>
  <si>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</si>
  <si>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</si>
  <si>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</si>
  <si>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</si>
  <si>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</si>
  <si>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</si>
  <si>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</si>
  <si>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</si>
  <si>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</si>
  <si>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</si>
  <si>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</si>
  <si>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</si>
  <si>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</si>
  <si>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</si>
  <si>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</si>
  <si>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</si>
  <si>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</si>
  <si>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</si>
  <si>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</si>
  <si>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</si>
  <si>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</si>
  <si>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</si>
  <si>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</si>
  <si>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</si>
  <si>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</si>
  <si>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</si>
  <si>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</si>
  <si>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</si>
  <si>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</si>
  <si>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</si>
  <si>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</si>
  <si>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</si>
  <si>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</si>
  <si>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</si>
  <si>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</si>
  <si>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</si>
  <si>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</si>
  <si>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</si>
  <si>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</si>
  <si>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</si>
  <si>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</si>
  <si>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</si>
  <si>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</si>
  <si>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</si>
  <si>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</si>
  <si>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</si>
  <si>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</si>
  <si>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</si>
  <si>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</si>
  <si>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</si>
  <si>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</si>
  <si>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</si>
  <si>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</si>
  <si>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</si>
  <si>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</si>
  <si>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</si>
  <si>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</si>
  <si>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</si>
  <si>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</si>
  <si>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</si>
  <si>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</si>
  <si>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</si>
  <si>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</si>
  <si>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</si>
  <si>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</si>
  <si>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</si>
  <si>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</si>
  <si>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</si>
  <si>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</si>
  <si>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</si>
  <si>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</si>
  <si>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</si>
  <si>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</si>
  <si>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</si>
  <si>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</si>
  <si>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</si>
  <si>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</si>
  <si>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</si>
  <si>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</si>
  <si>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</si>
  <si>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</si>
  <si>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</si>
  <si>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</si>
  <si>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</si>
  <si>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</si>
  <si>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</si>
  <si>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</si>
  <si>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</si>
  <si>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</si>
  <si>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</si>
  <si>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</si>
  <si>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</si>
  <si>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</si>
  <si>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</si>
  <si>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</si>
  <si>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</si>
  <si>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</si>
  <si>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</si>
  <si>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</si>
  <si>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</si>
  <si>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</si>
  <si>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</si>
  <si>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</si>
  <si>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</si>
  <si>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</si>
  <si>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</si>
  <si>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</si>
  <si>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</si>
  <si>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</si>
  <si>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</si>
  <si>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</si>
  <si>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</si>
  <si>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</si>
  <si>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</si>
  <si>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</si>
  <si>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</si>
  <si>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</si>
  <si>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</si>
  <si>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</si>
  <si>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</si>
  <si>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</si>
  <si>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</si>
  <si>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</si>
  <si>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</si>
  <si>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</si>
  <si>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</si>
  <si>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</si>
  <si>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</si>
  <si>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</si>
  <si>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</si>
  <si>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</si>
  <si>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</si>
  <si>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</si>
  <si>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</si>
  <si>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</si>
  <si>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</si>
  <si>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</si>
  <si>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</si>
  <si>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</si>
  <si>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</si>
  <si>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</si>
  <si>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</si>
  <si>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</si>
  <si>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</si>
  <si>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</si>
  <si>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</si>
  <si>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</si>
  <si>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</si>
  <si>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</si>
  <si>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</si>
  <si>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</si>
  <si>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</si>
  <si>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</si>
  <si>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</si>
  <si>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</si>
  <si>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</si>
  <si>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</si>
  <si>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</si>
  <si>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</si>
  <si>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</si>
  <si>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</si>
  <si>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</si>
  <si>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</si>
  <si>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</si>
  <si>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</si>
  <si>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</si>
  <si>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</si>
  <si>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</si>
  <si>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</si>
  <si>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</si>
  <si>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</si>
  <si>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</si>
  <si>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</si>
  <si>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</si>
  <si>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</si>
  <si>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</si>
  <si>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</si>
  <si>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</si>
  <si>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</si>
  <si>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</si>
  <si>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</si>
  <si>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</si>
  <si>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</si>
  <si>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</si>
  <si>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</si>
  <si>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</si>
  <si>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</si>
  <si>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</si>
  <si>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</si>
  <si>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</si>
  <si>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</si>
  <si>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</si>
  <si>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</si>
  <si>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</si>
  <si>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</si>
  <si>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</si>
  <si>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</si>
  <si>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</si>
  <si>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</si>
  <si>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</si>
  <si>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</si>
  <si>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</si>
  <si>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</si>
  <si>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</si>
  <si>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</si>
  <si>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</si>
  <si>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</si>
  <si>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</si>
  <si>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</si>
  <si>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</si>
  <si>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</si>
  <si>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</si>
  <si>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</si>
  <si>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</si>
  <si>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</si>
  <si>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</si>
  <si>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</si>
  <si>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</si>
  <si>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</si>
  <si>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</si>
  <si>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</si>
  <si>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</si>
  <si>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</si>
  <si>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</si>
  <si>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</si>
  <si>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</si>
  <si>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</si>
  <si>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</si>
  <si>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</si>
  <si>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</si>
  <si>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</si>
  <si>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</si>
  <si>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</si>
  <si>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</si>
  <si>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</si>
  <si>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</si>
  <si>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</si>
  <si>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</si>
  <si>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</si>
  <si>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</si>
  <si>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</si>
  <si>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</si>
  <si>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</si>
  <si>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</si>
  <si>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</si>
  <si>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</si>
  <si>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</si>
  <si>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</si>
  <si>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</si>
  <si>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</si>
  <si>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</si>
  <si>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</si>
  <si>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</si>
  <si>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</si>
  <si>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</si>
  <si>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</si>
  <si>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</si>
  <si>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</si>
  <si>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</si>
  <si>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</si>
  <si>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</si>
  <si>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</si>
  <si>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</si>
  <si>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</si>
  <si>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</si>
  <si>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</si>
  <si>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</si>
  <si>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</si>
  <si>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</si>
  <si>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</si>
  <si>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</si>
  <si>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</si>
  <si>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</si>
  <si>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</si>
  <si>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</si>
  <si>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</si>
  <si>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</si>
  <si>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</si>
  <si>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</si>
  <si>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</si>
  <si>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</si>
  <si>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</si>
  <si>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</si>
  <si>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</si>
  <si>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</si>
  <si>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</si>
  <si>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</si>
  <si>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</si>
  <si>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</si>
  <si>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</si>
  <si>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</si>
  <si>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</si>
  <si>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</si>
  <si>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</si>
  <si>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</si>
  <si>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</si>
  <si>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</si>
  <si>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</si>
  <si>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</si>
  <si>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</si>
  <si>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</si>
  <si>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</si>
  <si>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</si>
  <si>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</si>
  <si>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</si>
  <si>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</si>
  <si>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</si>
  <si>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</si>
  <si>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</si>
  <si>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</si>
  <si>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</si>
  <si>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</si>
  <si>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</si>
  <si>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</si>
  <si>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</si>
  <si>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</si>
  <si>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</si>
  <si>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</si>
  <si>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</si>
  <si>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</si>
  <si>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</si>
  <si>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</si>
  <si>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</si>
  <si>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</si>
  <si>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</si>
  <si>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</si>
  <si>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</si>
  <si>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</si>
  <si>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</si>
  <si>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</si>
  <si>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</si>
  <si>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</si>
  <si>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</si>
  <si>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</si>
  <si>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</si>
  <si>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</si>
  <si>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</si>
  <si>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</si>
  <si>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</si>
  <si>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</si>
  <si>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</si>
  <si>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</si>
  <si>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</si>
  <si>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</si>
  <si>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</si>
  <si>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</si>
  <si>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</si>
  <si>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</si>
  <si>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</si>
  <si>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</si>
  <si>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</si>
  <si>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</si>
  <si>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</si>
  <si>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</si>
  <si>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</si>
  <si>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</si>
  <si>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</si>
  <si>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</si>
  <si>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</si>
  <si>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</si>
  <si>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</si>
  <si>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</si>
  <si>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</si>
  <si>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</si>
  <si>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</si>
  <si>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</si>
  <si>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</si>
  <si>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</si>
  <si>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</si>
  <si>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</si>
  <si>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</si>
  <si>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</si>
  <si>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</si>
  <si>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</si>
  <si>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</si>
  <si>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</si>
  <si>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</si>
  <si>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</si>
  <si>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</si>
  <si>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</si>
  <si>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</si>
  <si>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</si>
  <si>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</si>
  <si>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</si>
  <si>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</si>
  <si>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</si>
  <si>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</si>
  <si>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</si>
  <si>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</si>
  <si>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</si>
  <si>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</si>
  <si>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</si>
  <si>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</si>
  <si>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</si>
  <si>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</si>
  <si>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</si>
  <si>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</si>
  <si>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</si>
  <si>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</si>
  <si>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</si>
  <si>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</si>
  <si>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</si>
  <si>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</si>
  <si>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</si>
  <si>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</si>
  <si>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</si>
  <si>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</si>
  <si>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</si>
  <si>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</si>
  <si>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</si>
  <si>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</si>
  <si>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</si>
  <si>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</si>
  <si>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</si>
  <si>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</si>
  <si>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</si>
  <si>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</si>
  <si>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</si>
  <si>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</si>
  <si>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</si>
  <si>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</si>
  <si>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</si>
  <si>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</si>
  <si>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</si>
  <si>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</si>
  <si>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</si>
  <si>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</si>
  <si>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</si>
  <si>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</si>
  <si>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</si>
  <si>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</si>
  <si>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</si>
  <si>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</si>
  <si>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</si>
  <si>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</si>
  <si>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</si>
  <si>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</si>
  <si>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</si>
  <si>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</si>
  <si>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</si>
  <si>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</si>
  <si>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</si>
  <si>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</si>
  <si>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</si>
  <si>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</si>
  <si>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</si>
  <si>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</si>
  <si>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</si>
  <si>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</si>
  <si>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</si>
  <si>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</si>
  <si>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</si>
  <si>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</si>
  <si>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</si>
  <si>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</si>
  <si>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</si>
  <si>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</si>
  <si>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</si>
  <si>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</si>
  <si>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</si>
  <si>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</si>
  <si>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</si>
  <si>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</si>
  <si>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</si>
  <si>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</si>
  <si>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</si>
  <si>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</si>
  <si>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</si>
  <si>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</si>
  <si>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</si>
  <si>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</si>
  <si>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</si>
  <si>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</si>
  <si>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</si>
  <si>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</si>
  <si>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</si>
  <si>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</si>
  <si>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</si>
  <si>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</si>
  <si>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</si>
  <si>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</si>
  <si>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</si>
  <si>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</si>
  <si>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</si>
  <si>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</si>
  <si>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</si>
  <si>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</si>
  <si>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</si>
  <si>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</si>
  <si>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</si>
  <si>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</si>
  <si>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</si>
  <si>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</si>
  <si>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</si>
  <si>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</si>
  <si>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</si>
  <si>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</si>
  <si>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</si>
  <si>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</si>
  <si>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</si>
  <si>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</si>
  <si>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</si>
  <si>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</si>
  <si>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</si>
  <si>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</si>
  <si>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</si>
  <si>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</si>
  <si>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</si>
  <si>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</si>
  <si>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</si>
  <si>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</si>
  <si>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</si>
  <si>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</si>
  <si>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</si>
  <si>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</si>
  <si>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</si>
  <si>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</si>
  <si>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</si>
  <si>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</si>
  <si>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</si>
  <si>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</si>
  <si>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</si>
  <si>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</si>
  <si>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</si>
  <si>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</si>
  <si>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</si>
  <si>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</si>
  <si>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</si>
  <si>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</si>
  <si>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</si>
  <si>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</si>
  <si>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</si>
  <si>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</si>
  <si>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</si>
  <si>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</si>
  <si>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</si>
  <si>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</si>
  <si>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</si>
  <si>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</si>
  <si>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</si>
  <si>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</si>
  <si>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</si>
  <si>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</si>
  <si>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</si>
  <si>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</si>
  <si>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</si>
  <si>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</si>
  <si>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</si>
  <si>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</si>
  <si>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</si>
  <si>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</si>
  <si>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</si>
  <si>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</si>
  <si>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</si>
  <si>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</si>
  <si>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</si>
  <si>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</si>
  <si>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</si>
  <si>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</si>
  <si>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</si>
  <si>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</si>
  <si>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</si>
  <si>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</si>
  <si>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</si>
  <si>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</si>
  <si>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</si>
  <si>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</si>
  <si>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</si>
  <si>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</si>
  <si>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</si>
  <si>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</si>
  <si>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</si>
  <si>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</si>
  <si>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</si>
  <si>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</si>
  <si>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</si>
  <si>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</si>
  <si>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</si>
  <si>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</si>
  <si>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</si>
  <si>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</si>
  <si>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</si>
  <si>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</si>
  <si>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</si>
  <si>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</si>
  <si>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</si>
  <si>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</si>
  <si>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</si>
  <si>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</si>
  <si>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</si>
  <si>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</si>
  <si>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</si>
  <si>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</si>
  <si>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</si>
  <si>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</si>
  <si>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</si>
  <si>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</si>
  <si>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</si>
  <si>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</si>
  <si>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</si>
  <si>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</si>
  <si>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</si>
  <si>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</si>
  <si>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</si>
  <si>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</si>
  <si>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</si>
  <si>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</si>
  <si>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</si>
  <si>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</si>
  <si>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</si>
  <si>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</si>
  <si>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</si>
  <si>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</si>
  <si>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</si>
  <si>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</si>
  <si>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</si>
  <si>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</si>
  <si>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</si>
  <si>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</si>
  <si>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</si>
  <si>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</si>
  <si>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</si>
  <si>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</si>
  <si>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</si>
  <si>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</si>
  <si>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</si>
  <si>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</si>
  <si>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</si>
  <si>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</si>
  <si>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</si>
  <si>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</si>
  <si>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</si>
  <si>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</si>
  <si>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</si>
  <si>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</si>
  <si>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</si>
  <si>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</si>
  <si>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</si>
  <si>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</si>
  <si>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</si>
  <si>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</si>
  <si>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</si>
  <si>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</si>
  <si>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</si>
  <si>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</si>
  <si>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</si>
  <si>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</si>
  <si>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</si>
  <si>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</si>
  <si>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</si>
  <si>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</si>
  <si>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</si>
  <si>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</si>
  <si>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</si>
  <si>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</si>
  <si>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</si>
  <si>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</si>
  <si>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</si>
  <si>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</si>
  <si>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</si>
  <si>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</si>
  <si>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</si>
  <si>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</si>
  <si>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</si>
  <si>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</si>
  <si>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</si>
  <si>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</si>
  <si>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</si>
  <si>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</si>
  <si>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</si>
  <si>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</si>
  <si>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</si>
  <si>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</si>
  <si>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</si>
  <si>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</si>
  <si>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</si>
  <si>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</si>
  <si>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</si>
  <si>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</si>
  <si>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</si>
  <si>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</si>
  <si>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</si>
  <si>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</si>
  <si>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</si>
  <si>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</si>
  <si>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</si>
  <si>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</si>
  <si>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</si>
  <si>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</si>
  <si>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</si>
  <si>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</si>
  <si>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</si>
  <si>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</si>
  <si>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</si>
  <si>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</si>
  <si>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</si>
  <si>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</si>
  <si>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</si>
  <si>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</si>
  <si>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</si>
  <si>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</si>
  <si>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</si>
  <si>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</si>
  <si>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</si>
  <si>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</si>
  <si>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</si>
  <si>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</si>
  <si>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</si>
  <si>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</si>
  <si>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</si>
  <si>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</si>
  <si>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</si>
  <si>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</si>
  <si>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</si>
  <si>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</si>
  <si>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</si>
  <si>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</si>
  <si>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</si>
  <si>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</si>
  <si>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</si>
  <si>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</si>
  <si>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</si>
  <si>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</si>
  <si>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</si>
  <si>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</si>
  <si>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</si>
  <si>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</si>
  <si>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</si>
  <si>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</si>
  <si>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</si>
  <si>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</si>
  <si>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</si>
  <si>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</si>
  <si>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</si>
  <si>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</si>
  <si>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</si>
  <si>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</si>
  <si>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</si>
  <si>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</si>
  <si>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</si>
  <si>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</si>
  <si>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</si>
  <si>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</si>
  <si>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</si>
  <si>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</si>
  <si>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</si>
  <si>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</si>
  <si>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</si>
  <si>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</si>
  <si>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</si>
  <si>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</si>
  <si>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</si>
  <si>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</si>
  <si>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</si>
  <si>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</si>
  <si>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</si>
  <si>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</si>
  <si>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</si>
  <si>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</si>
  <si>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</si>
  <si>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</si>
  <si>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</si>
  <si>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</si>
  <si>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</si>
  <si>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</si>
  <si>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</si>
  <si>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</si>
  <si>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</si>
  <si>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</si>
  <si>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</si>
  <si>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</si>
  <si>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</si>
  <si>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</si>
  <si>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</si>
  <si>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</si>
  <si>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</si>
  <si>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</si>
  <si>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</si>
  <si>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</si>
  <si>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</si>
  <si>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</si>
  <si>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</si>
  <si>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</si>
  <si>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</si>
  <si>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</si>
  <si>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</si>
  <si>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</si>
  <si>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</si>
  <si>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</si>
  <si>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</si>
  <si>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</si>
  <si>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</si>
  <si>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</si>
  <si>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</si>
  <si>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</si>
  <si>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</si>
  <si>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</si>
  <si>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</si>
  <si>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</si>
  <si>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</si>
  <si>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</si>
  <si>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</si>
  <si>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</si>
  <si>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</si>
  <si>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</si>
  <si>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</si>
  <si>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</si>
  <si>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</si>
  <si>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</si>
  <si>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</si>
  <si>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</si>
  <si>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</si>
  <si>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</si>
  <si>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</si>
  <si>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</si>
  <si>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</si>
  <si>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</si>
  <si>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</si>
  <si>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</si>
  <si>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</si>
  <si>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</si>
  <si>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</si>
  <si>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</si>
  <si>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</si>
  <si>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</si>
  <si>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</si>
  <si>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</si>
  <si>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</si>
  <si>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</si>
  <si>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</si>
  <si>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</si>
  <si>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</si>
  <si>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</si>
  <si>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</si>
  <si>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</si>
  <si>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</si>
  <si>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</si>
  <si>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</si>
  <si>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</si>
  <si>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</si>
  <si>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</si>
  <si>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</si>
  <si>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</si>
  <si>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</si>
  <si>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</si>
  <si>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</si>
  <si>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</si>
  <si>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</si>
  <si>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</si>
  <si>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</si>
  <si>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</si>
  <si>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</si>
  <si>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</si>
  <si>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</si>
  <si>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</si>
  <si>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</si>
  <si>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</si>
  <si>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</si>
  <si>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</si>
  <si>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</si>
  <si>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</si>
  <si>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</si>
  <si>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</si>
  <si>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</si>
  <si>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</si>
  <si>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</si>
  <si>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</si>
  <si>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</si>
  <si>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</si>
  <si>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</si>
  <si>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</si>
  <si>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</si>
  <si>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</si>
  <si>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</si>
  <si>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</si>
  <si>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</si>
  <si>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</si>
  <si>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</si>
  <si>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</si>
  <si>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</si>
  <si>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</si>
  <si>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</si>
  <si>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</si>
  <si>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</si>
  <si>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</si>
  <si>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</si>
  <si>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</si>
  <si>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</si>
  <si>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</si>
  <si>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</si>
  <si>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</si>
  <si>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</si>
  <si>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</si>
  <si>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</si>
  <si>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</si>
  <si>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</si>
  <si>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</si>
  <si>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</si>
  <si>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</si>
  <si>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</si>
  <si>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</si>
  <si>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</si>
  <si>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</si>
  <si>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</si>
  <si>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</si>
  <si>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</si>
  <si>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</si>
  <si>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</si>
  <si>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</si>
  <si>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</si>
  <si>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</si>
  <si>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</si>
  <si>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</si>
  <si>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</si>
  <si>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</si>
  <si>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</si>
  <si>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</si>
  <si>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</si>
  <si>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</si>
  <si>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</si>
  <si>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</si>
  <si>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</si>
  <si>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</si>
  <si>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</si>
  <si>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</si>
  <si>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</si>
  <si>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</si>
  <si>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</si>
  <si>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</si>
  <si>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</si>
  <si>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</si>
  <si>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</si>
  <si>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</si>
  <si>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</si>
  <si>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</si>
  <si>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</si>
  <si>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</si>
  <si>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</si>
  <si>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</si>
  <si>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</si>
  <si>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</si>
  <si>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</si>
  <si>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</si>
  <si>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</si>
  <si>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</si>
  <si>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</si>
  <si>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</si>
  <si>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</si>
  <si>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</si>
  <si>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</si>
  <si>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</si>
  <si>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</si>
  <si>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</si>
  <si>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</si>
  <si>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</si>
  <si>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</si>
  <si>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</si>
  <si>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</si>
  <si>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</si>
  <si>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</si>
  <si>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</si>
  <si>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</si>
  <si>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</si>
  <si>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</si>
  <si>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</si>
  <si>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</si>
  <si>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</si>
  <si>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</si>
  <si>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</si>
  <si>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</si>
  <si>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</si>
  <si>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</si>
  <si>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</si>
  <si>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</si>
  <si>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</si>
  <si>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</si>
  <si>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</si>
  <si>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</si>
  <si>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</si>
  <si>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</si>
  <si>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</si>
  <si>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</si>
  <si>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</si>
  <si>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</si>
  <si>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</si>
  <si>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</si>
  <si>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</si>
  <si>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</si>
  <si>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</si>
  <si>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</si>
  <si>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</si>
  <si>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</si>
  <si>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</si>
  <si>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</si>
  <si>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</si>
  <si>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</si>
  <si>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</si>
  <si>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</si>
  <si>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</si>
  <si>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</si>
  <si>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</si>
  <si>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</si>
  <si>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</si>
  <si>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</si>
  <si>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</si>
  <si>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</si>
  <si>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</si>
  <si>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</si>
  <si>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</si>
  <si>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</si>
  <si>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</si>
  <si>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</si>
  <si>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</si>
  <si>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</si>
  <si>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</si>
  <si>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</si>
  <si>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</si>
  <si>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</si>
  <si>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</si>
  <si>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</si>
  <si>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</si>
  <si>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</si>
  <si>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</si>
  <si>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</si>
  <si>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</si>
  <si>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</si>
  <si>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</si>
  <si>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</si>
  <si>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</si>
  <si>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</si>
  <si>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</si>
  <si>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</si>
  <si>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</si>
  <si>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</si>
  <si>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</si>
  <si>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</si>
  <si>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</si>
  <si>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</si>
  <si>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</si>
  <si>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</si>
  <si>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</si>
  <si>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</si>
  <si>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</si>
  <si>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</si>
  <si>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</si>
  <si>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</si>
  <si>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</si>
  <si>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</si>
  <si>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</si>
  <si>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</si>
  <si>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</si>
  <si>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</si>
  <si>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</si>
  <si>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</si>
  <si>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</si>
  <si>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</si>
  <si>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</si>
  <si>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</si>
  <si>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</si>
  <si>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</si>
  <si>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</si>
  <si>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</si>
  <si>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</si>
  <si>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</si>
  <si>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</si>
  <si>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</si>
  <si>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</si>
  <si>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</si>
  <si>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</si>
  <si>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</si>
  <si>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</si>
  <si>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</si>
  <si>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</si>
  <si>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</si>
  <si>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</si>
  <si>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</si>
  <si>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</si>
  <si>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</si>
  <si>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</si>
  <si>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</si>
  <si>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</si>
  <si>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</si>
  <si>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</si>
  <si>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</si>
  <si>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</si>
  <si>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</si>
  <si>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</si>
  <si>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</si>
  <si>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</si>
  <si>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</si>
  <si>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</si>
  <si>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</si>
  <si>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</si>
  <si>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</si>
  <si>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</si>
  <si>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</si>
  <si>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</si>
  <si>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</si>
  <si>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</si>
  <si>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</si>
  <si>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</si>
  <si>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</si>
  <si>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</si>
  <si>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</si>
  <si>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</si>
  <si>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</si>
  <si>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</si>
  <si>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</si>
  <si>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</si>
  <si>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</si>
  <si>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</si>
  <si>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</si>
  <si>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</si>
  <si>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</si>
  <si>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</si>
  <si>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</si>
  <si>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</si>
  <si>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</si>
  <si>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</si>
  <si>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</si>
  <si>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</si>
  <si>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</si>
  <si>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</si>
  <si>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</si>
  <si>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</si>
  <si>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</si>
  <si>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</si>
  <si>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</si>
  <si>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</si>
  <si>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</si>
  <si>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</si>
  <si>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</si>
  <si>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</si>
  <si>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</si>
  <si>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</si>
  <si>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</si>
  <si>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</si>
  <si>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</si>
  <si>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</si>
  <si>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</si>
  <si>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</si>
  <si>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</si>
  <si>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</si>
  <si>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</si>
  <si>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</si>
  <si>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</si>
  <si>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</si>
  <si>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</si>
  <si>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</si>
  <si>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</si>
  <si>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</si>
  <si>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</si>
  <si>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</si>
  <si>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</si>
  <si>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</si>
  <si>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</si>
  <si>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</si>
  <si>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</si>
  <si>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</si>
  <si>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</si>
  <si>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</si>
  <si>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</si>
  <si>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</si>
  <si>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</si>
  <si>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</si>
  <si>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</si>
  <si>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</si>
  <si>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</si>
  <si>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</si>
  <si>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</si>
  <si>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</si>
  <si>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</si>
  <si>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</si>
  <si>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</si>
  <si>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</si>
  <si>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</si>
  <si>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</si>
  <si>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</si>
  <si>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</si>
  <si>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</si>
  <si>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</si>
  <si>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</si>
  <si>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</si>
  <si>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</si>
  <si>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</si>
  <si>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</si>
  <si>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</si>
  <si>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</si>
  <si>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</si>
  <si>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</si>
  <si>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</si>
  <si>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</si>
  <si>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</si>
  <si>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</si>
  <si>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</si>
  <si>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</si>
  <si>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</si>
  <si>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</si>
  <si>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</si>
  <si>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</si>
  <si>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</si>
  <si>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</si>
  <si>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</si>
  <si>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</si>
  <si>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</si>
  <si>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</si>
  <si>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</si>
  <si>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</si>
  <si>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</si>
  <si>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</si>
  <si>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</si>
  <si>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</si>
  <si>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</si>
  <si>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</si>
  <si>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</si>
  <si>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</si>
  <si>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</si>
  <si>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</si>
  <si>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</si>
  <si>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</si>
  <si>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</si>
  <si>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</si>
  <si>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</si>
  <si>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</si>
  <si>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</si>
  <si>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</si>
  <si>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</si>
  <si>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</si>
  <si>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</si>
  <si>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</si>
  <si>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</si>
  <si>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</si>
  <si>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</si>
  <si>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</si>
  <si>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</si>
  <si>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</si>
  <si>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</si>
  <si>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</si>
  <si>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</si>
  <si>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</si>
  <si>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</si>
  <si>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</si>
  <si>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</si>
  <si>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</si>
  <si>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</si>
  <si>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</si>
  <si>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</si>
  <si>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</si>
  <si>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</si>
  <si>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</si>
  <si>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</si>
  <si>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</si>
  <si>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</si>
  <si>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</si>
  <si>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</si>
  <si>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</si>
  <si>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</si>
  <si>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</si>
  <si>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</si>
  <si>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</si>
  <si>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</si>
  <si>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</si>
  <si>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</si>
  <si>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</si>
  <si>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</si>
  <si>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</si>
  <si>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</si>
  <si>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</si>
  <si>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</si>
  <si>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</si>
  <si>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</si>
  <si>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</si>
  <si>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</si>
  <si>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</si>
  <si>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</si>
  <si>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</si>
  <si>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</si>
  <si>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</si>
  <si>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</si>
  <si>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</si>
  <si>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</si>
  <si>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</si>
  <si>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</si>
  <si>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</si>
  <si>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</si>
  <si>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</si>
  <si>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</si>
  <si>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</si>
  <si>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</si>
  <si>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</si>
  <si>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</si>
  <si>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</si>
  <si>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</si>
  <si>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</si>
  <si>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</si>
  <si>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</si>
  <si>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</si>
  <si>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</si>
  <si>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</si>
  <si>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</si>
  <si>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</si>
  <si>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</si>
  <si>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</si>
  <si>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</si>
  <si>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</si>
  <si>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</si>
  <si>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</si>
  <si>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</si>
  <si>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</si>
  <si>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</si>
  <si>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</si>
  <si>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</si>
  <si>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</si>
  <si>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</si>
  <si>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</si>
  <si>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</si>
  <si>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</si>
  <si>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</si>
  <si>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</si>
  <si>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</si>
  <si>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</si>
  <si>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</si>
  <si>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</si>
  <si>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</si>
  <si>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</si>
  <si>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</si>
  <si>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</si>
  <si>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</si>
  <si>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</si>
  <si>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</si>
  <si>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</si>
  <si>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</si>
  <si>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</si>
  <si>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</si>
  <si>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</si>
  <si>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</si>
  <si>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</si>
  <si>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</si>
  <si>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</si>
  <si>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</si>
  <si>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</si>
  <si>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</si>
  <si>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</si>
  <si>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</si>
  <si>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</si>
  <si>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</si>
  <si>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</si>
  <si>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</si>
  <si>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</si>
  <si>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</si>
  <si>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</si>
  <si>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</si>
  <si>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</si>
  <si>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</si>
  <si>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</si>
  <si>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</si>
  <si>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</si>
  <si>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</si>
  <si>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</si>
  <si>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</si>
  <si>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</si>
  <si>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</si>
  <si>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</si>
  <si>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</si>
  <si>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</si>
  <si>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</si>
  <si>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</si>
  <si>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</si>
  <si>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</si>
  <si>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</si>
  <si>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</si>
  <si>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</si>
  <si>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</si>
  <si>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</si>
  <si>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</si>
  <si>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</si>
  <si>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</si>
  <si>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</si>
  <si>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</si>
  <si>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</si>
  <si>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</si>
  <si>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</si>
  <si>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</si>
  <si>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</si>
  <si>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</si>
  <si>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</si>
  <si>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</si>
  <si>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</si>
  <si>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</si>
  <si>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</si>
  <si>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</si>
  <si>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</si>
  <si>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</si>
  <si>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</si>
  <si>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</si>
  <si>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</si>
  <si>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</si>
  <si>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</si>
  <si>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</si>
  <si>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</si>
  <si>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</si>
  <si>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</si>
  <si>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</si>
  <si>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</si>
  <si>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</si>
  <si>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</si>
  <si>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</si>
  <si>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</si>
  <si>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</si>
  <si>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</si>
  <si>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</si>
  <si>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</si>
  <si>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</si>
  <si>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</si>
  <si>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</si>
  <si>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</si>
  <si>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</si>
  <si>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</si>
  <si>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</si>
  <si>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</si>
  <si>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</si>
  <si>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</si>
  <si>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</si>
  <si>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</si>
  <si>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</si>
  <si>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</si>
  <si>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</si>
  <si>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</si>
  <si>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</si>
  <si>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</si>
  <si>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</si>
  <si>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</si>
  <si>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</si>
  <si>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</si>
  <si>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</si>
  <si>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</si>
  <si>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</si>
  <si>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</si>
  <si>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</si>
  <si>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</si>
  <si>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</si>
  <si>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</si>
  <si>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</si>
  <si>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</si>
  <si>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</si>
  <si>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</si>
  <si>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</si>
  <si>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</si>
  <si>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</si>
  <si>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</si>
  <si>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</si>
  <si>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</si>
  <si>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</si>
  <si>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</si>
  <si>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</si>
  <si>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</si>
  <si>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</si>
  <si>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</si>
  <si>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</si>
  <si>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</si>
  <si>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</si>
  <si>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</si>
  <si>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</si>
  <si>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</si>
  <si>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</si>
  <si>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</si>
  <si>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</si>
  <si>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</si>
  <si>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</si>
  <si>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</si>
  <si>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</si>
  <si>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</si>
  <si>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</si>
  <si>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</si>
  <si>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</si>
  <si>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</si>
  <si>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</si>
  <si>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</si>
  <si>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</si>
  <si>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</si>
  <si>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</si>
  <si>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</si>
  <si>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</si>
  <si>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</si>
  <si>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</si>
  <si>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</si>
  <si>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</si>
  <si>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</si>
  <si>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</si>
  <si>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</si>
  <si>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</si>
  <si>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</si>
  <si>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</si>
  <si>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</si>
  <si>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</si>
  <si>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</si>
  <si>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</si>
  <si>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</si>
  <si>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</si>
  <si>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</si>
  <si>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</si>
  <si>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</si>
  <si>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</si>
  <si>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</si>
  <si>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</si>
  <si>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</si>
  <si>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</si>
  <si>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</si>
  <si>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</si>
  <si>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</si>
  <si>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</si>
  <si>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</si>
  <si>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</si>
  <si>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</si>
  <si>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</si>
  <si>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</si>
  <si>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</si>
  <si>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</si>
  <si>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</si>
  <si>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</si>
  <si>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</si>
  <si>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</si>
  <si>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</si>
  <si>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</si>
  <si>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</si>
  <si>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</si>
  <si>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</si>
  <si>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</si>
  <si>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</si>
  <si>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</si>
  <si>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</si>
  <si>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</si>
  <si>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</si>
  <si>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</si>
  <si>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</si>
  <si>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</si>
  <si>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</si>
  <si>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</si>
  <si>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</si>
  <si>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</si>
  <si>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</si>
  <si>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</si>
  <si>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</si>
  <si>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</si>
  <si>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</si>
  <si>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</si>
  <si>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</si>
  <si>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</si>
  <si>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</si>
  <si>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</si>
  <si>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</si>
  <si>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</si>
  <si>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</si>
  <si>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</si>
  <si>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</si>
  <si>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</si>
  <si>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</si>
  <si>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</si>
  <si>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</si>
  <si>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</si>
  <si>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</si>
  <si>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</si>
  <si>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</si>
  <si>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</si>
  <si>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</si>
  <si>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</si>
  <si>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</si>
  <si>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</si>
  <si>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</si>
  <si>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</si>
  <si>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</si>
  <si>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</si>
  <si>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</si>
  <si>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</si>
  <si>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</si>
  <si>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</si>
  <si>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</si>
  <si>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</si>
  <si>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</si>
  <si>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</si>
  <si>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</si>
  <si>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</si>
  <si>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</si>
  <si>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</si>
  <si>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</si>
  <si>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</si>
  <si>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</si>
  <si>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</si>
  <si>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</si>
  <si>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</si>
  <si>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</si>
  <si>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</si>
  <si>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</si>
  <si>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</si>
  <si>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</si>
  <si>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</si>
  <si>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</si>
  <si>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</si>
  <si>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</si>
  <si>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</si>
  <si>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</si>
  <si>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</si>
  <si>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</si>
  <si>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</si>
  <si>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</si>
  <si>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</si>
  <si>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</si>
  <si>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</si>
  <si>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</si>
  <si>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</si>
  <si>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</si>
  <si>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</si>
  <si>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</si>
  <si>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</si>
  <si>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</si>
  <si>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</si>
  <si>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</si>
  <si>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</si>
  <si>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</si>
  <si>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</si>
  <si>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</si>
  <si>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</si>
  <si>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</si>
  <si>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</si>
  <si>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</si>
  <si>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</si>
  <si>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</si>
  <si>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</si>
  <si>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</si>
  <si>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</si>
  <si>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</si>
  <si>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</si>
  <si>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</si>
  <si>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</si>
  <si>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</si>
  <si>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</si>
  <si>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</si>
  <si>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</si>
  <si>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</si>
  <si>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</si>
  <si>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</si>
  <si>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</si>
  <si>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</si>
  <si>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</si>
  <si>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</si>
  <si>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</si>
  <si>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</si>
  <si>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</si>
  <si>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</si>
  <si>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</si>
  <si>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</si>
  <si>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</si>
  <si>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</si>
  <si>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</si>
  <si>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</si>
  <si>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</si>
  <si>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</si>
  <si>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</si>
  <si>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</si>
  <si>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</si>
  <si>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</si>
  <si>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</si>
  <si>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</si>
  <si>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</si>
  <si>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</si>
  <si>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</si>
  <si>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</si>
  <si>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</si>
  <si>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</si>
  <si>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</si>
  <si>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</si>
  <si>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</si>
  <si>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</si>
  <si>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</si>
  <si>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</si>
  <si>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</si>
  <si>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</si>
  <si>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</si>
  <si>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</si>
  <si>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</si>
  <si>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</si>
  <si>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</si>
  <si>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</si>
  <si>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</si>
  <si>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</si>
  <si>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</si>
  <si>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</si>
  <si>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</si>
  <si>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</si>
  <si>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</si>
  <si>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</si>
  <si>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</si>
  <si>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</si>
  <si>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</si>
  <si>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</si>
  <si>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</si>
  <si>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</si>
  <si>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</si>
  <si>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</si>
  <si>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</si>
  <si>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</si>
  <si>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</si>
  <si>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</si>
  <si>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</si>
  <si>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</si>
  <si>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</si>
  <si>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</si>
  <si>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</si>
  <si>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</si>
  <si>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</si>
  <si>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</si>
  <si>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</si>
  <si>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</si>
  <si>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</si>
  <si>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</si>
  <si>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</si>
  <si>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</si>
  <si>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</si>
  <si>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</si>
  <si>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</si>
  <si>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</si>
  <si>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</si>
  <si>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</si>
  <si>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</si>
  <si>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</si>
  <si>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</si>
  <si>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</si>
  <si>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</si>
  <si>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</si>
  <si>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</si>
  <si>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</si>
  <si>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</si>
  <si>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</si>
  <si>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</si>
  <si>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</si>
  <si>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</si>
  <si>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</si>
  <si>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</si>
  <si>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</si>
  <si>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</si>
  <si>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</si>
  <si>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</si>
  <si>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</si>
  <si>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</si>
  <si>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</si>
  <si>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</si>
  <si>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</si>
  <si>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</si>
  <si>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</si>
  <si>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</si>
  <si>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</si>
  <si>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</si>
  <si>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</si>
  <si>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</si>
  <si>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</si>
  <si>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</si>
  <si>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</si>
  <si>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</si>
  <si>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</si>
  <si>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</si>
  <si>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</si>
  <si>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</si>
  <si>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</si>
  <si>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</si>
  <si>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</si>
  <si>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</si>
  <si>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</si>
  <si>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</si>
  <si>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</si>
  <si>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</si>
  <si>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</si>
  <si>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</si>
  <si>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</si>
  <si>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</si>
  <si>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</si>
  <si>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</si>
  <si>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</si>
  <si>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</si>
  <si>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</si>
  <si>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</si>
  <si>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</si>
  <si>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</si>
  <si>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</si>
  <si>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</si>
  <si>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</si>
  <si>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</si>
  <si>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</si>
  <si>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</si>
  <si>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</si>
  <si>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</si>
  <si>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</si>
  <si>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</si>
  <si>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</si>
  <si>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</si>
  <si>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</si>
  <si>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</si>
  <si>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</si>
  <si>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</si>
  <si>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</si>
  <si>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</si>
  <si>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</si>
  <si>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</si>
  <si>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</si>
  <si>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</si>
  <si>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</si>
  <si>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</si>
  <si>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</si>
  <si>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</si>
  <si>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</si>
  <si>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</si>
  <si>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</si>
  <si>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</si>
  <si>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</si>
  <si>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</si>
  <si>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</si>
  <si>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</si>
  <si>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</si>
  <si>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</si>
  <si>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</si>
  <si>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</si>
  <si>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</si>
  <si>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</si>
  <si>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</si>
  <si>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</si>
  <si>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</si>
  <si>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</si>
  <si>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</si>
  <si>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</si>
  <si>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</si>
  <si>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</si>
  <si>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</si>
  <si>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</si>
  <si>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</si>
  <si>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</si>
  <si>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</si>
  <si>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</si>
  <si>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</si>
  <si>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</si>
  <si>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</si>
  <si>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</si>
  <si>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</si>
  <si>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</si>
  <si>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</si>
  <si>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</si>
  <si>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</si>
  <si>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</si>
  <si>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</si>
  <si>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</si>
  <si>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</si>
  <si>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</si>
  <si>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</si>
  <si>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</si>
  <si>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</si>
  <si>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</si>
  <si>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</si>
  <si>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</si>
  <si>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</si>
  <si>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</si>
  <si>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</si>
  <si>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</si>
  <si>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</si>
  <si>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</si>
  <si>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</si>
  <si>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</si>
  <si>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</si>
  <si>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</si>
  <si>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</si>
  <si>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</si>
  <si>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</si>
  <si>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</si>
  <si>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</si>
  <si>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</si>
  <si>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</si>
  <si>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</si>
  <si>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</si>
  <si>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</si>
  <si>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</si>
  <si>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</si>
  <si>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</si>
  <si>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</si>
  <si>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</si>
  <si>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</si>
  <si>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</si>
  <si>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</si>
  <si>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</si>
  <si>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</si>
  <si>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</si>
  <si>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</si>
  <si>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</si>
  <si>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</si>
  <si>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</si>
  <si>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</si>
  <si>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</si>
  <si>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</si>
  <si>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</si>
  <si>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</si>
  <si>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</si>
  <si>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</si>
  <si>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</si>
  <si>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</si>
  <si>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</si>
  <si>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</si>
  <si>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</si>
  <si>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</si>
  <si>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</si>
  <si>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</si>
  <si>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</si>
  <si>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</si>
  <si>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</si>
  <si>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</si>
  <si>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</si>
  <si>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</si>
  <si>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</si>
  <si>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</si>
  <si>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</si>
  <si>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</si>
  <si>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</si>
  <si>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</si>
  <si>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</si>
  <si>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</si>
  <si>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</si>
  <si>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</si>
  <si>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</si>
  <si>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</si>
  <si>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</si>
  <si>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</si>
  <si>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</si>
  <si>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</si>
  <si>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</si>
  <si>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</si>
  <si>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</si>
  <si>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</si>
  <si>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</si>
  <si>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</si>
  <si>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</si>
  <si>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</si>
  <si>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</si>
  <si>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</si>
  <si>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</si>
  <si>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</si>
  <si>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</si>
  <si>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</si>
  <si>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</si>
  <si>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</si>
  <si>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</si>
  <si>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</si>
  <si>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</si>
  <si>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</si>
  <si>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</si>
  <si>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</si>
  <si>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</si>
  <si>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</si>
  <si>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</si>
  <si>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</si>
  <si>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</si>
  <si>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</si>
  <si>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</si>
  <si>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</si>
  <si>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</si>
  <si>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</si>
  <si>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</si>
  <si>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</si>
  <si>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</si>
  <si>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</si>
  <si>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</si>
  <si>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</si>
  <si>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</si>
  <si>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</si>
  <si>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</si>
  <si>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</si>
  <si>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</si>
  <si>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</si>
  <si>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</si>
  <si>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</si>
  <si>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</si>
  <si>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</si>
  <si>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</si>
  <si>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</si>
  <si>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</si>
  <si>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</si>
  <si>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</si>
  <si>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</si>
  <si>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</si>
  <si>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</si>
  <si>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</si>
  <si>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</si>
  <si>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</si>
  <si>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</si>
  <si>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</si>
  <si>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</si>
  <si>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</si>
  <si>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</si>
  <si>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</si>
  <si>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</si>
  <si>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</si>
  <si>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</si>
  <si>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</si>
  <si>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</si>
  <si>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</si>
  <si>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</si>
  <si>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</si>
  <si>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</si>
  <si>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</si>
  <si>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</si>
  <si>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</si>
  <si>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</si>
  <si>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</si>
  <si>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</si>
  <si>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</si>
  <si>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</si>
  <si>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</si>
  <si>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</si>
  <si>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</si>
  <si>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</si>
  <si>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</si>
  <si>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</si>
  <si>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</si>
  <si>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</si>
  <si>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</si>
  <si>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</si>
  <si>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</si>
  <si>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</si>
  <si>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</si>
  <si>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</si>
  <si>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</si>
  <si>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</si>
  <si>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</si>
  <si>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</si>
  <si>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</si>
  <si>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</si>
  <si>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</si>
  <si>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</si>
  <si>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</si>
  <si>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</si>
  <si>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</si>
  <si>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</si>
  <si>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</si>
  <si>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</si>
  <si>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</si>
  <si>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</si>
  <si>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</si>
  <si>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</si>
  <si>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</si>
  <si>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</si>
  <si>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</si>
  <si>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</si>
  <si>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</si>
  <si>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</si>
  <si>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</si>
  <si>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</si>
  <si>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</si>
  <si>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</si>
  <si>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</si>
  <si>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</si>
  <si>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</si>
  <si>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</si>
  <si>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</si>
  <si>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</si>
  <si>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</si>
  <si>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</si>
  <si>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</si>
  <si>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</si>
  <si>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</si>
  <si>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</si>
  <si>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</si>
  <si>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</si>
  <si>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</si>
  <si>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</si>
  <si>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</si>
  <si>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</si>
  <si>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</si>
  <si>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</si>
  <si>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</si>
  <si>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</si>
  <si>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</si>
  <si>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</si>
  <si>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</si>
  <si>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</si>
  <si>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</si>
  <si>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</si>
  <si>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</si>
  <si>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</si>
  <si>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</si>
  <si>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</si>
  <si>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</si>
  <si>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</si>
  <si>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</si>
  <si>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</si>
  <si>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</si>
  <si>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</si>
  <si>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</si>
  <si>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</si>
  <si>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</si>
  <si>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</si>
  <si>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</si>
  <si>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</si>
  <si>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</si>
  <si>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</si>
  <si>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</si>
  <si>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</si>
  <si>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</si>
  <si>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</si>
  <si>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</si>
  <si>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</si>
  <si>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</si>
  <si>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</si>
  <si>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</si>
  <si>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</si>
  <si>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</si>
  <si>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</si>
  <si>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</si>
  <si>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</si>
  <si>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</si>
  <si>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</si>
  <si>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</si>
  <si>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</si>
  <si>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</si>
  <si>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</si>
  <si>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</si>
  <si>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</si>
  <si>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</si>
  <si>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</si>
  <si>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</si>
  <si>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</si>
  <si>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</si>
  <si>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</si>
  <si>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</si>
  <si>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</si>
  <si>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</si>
  <si>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</si>
  <si>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</si>
  <si>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</si>
  <si>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</si>
  <si>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</si>
  <si>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</si>
  <si>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</si>
  <si>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</si>
  <si>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</si>
  <si>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</si>
  <si>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</si>
  <si>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</si>
  <si>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</si>
  <si>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</si>
  <si>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</si>
  <si>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</si>
  <si>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</si>
  <si>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</si>
  <si>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</si>
  <si>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</si>
  <si>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</si>
  <si>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</si>
  <si>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</si>
  <si>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</si>
  <si>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</si>
  <si>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</si>
  <si>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</si>
  <si>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</si>
  <si>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</si>
  <si>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</si>
  <si>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</si>
  <si>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</si>
  <si>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</si>
  <si>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</si>
  <si>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</si>
  <si>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</si>
  <si>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</si>
  <si>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</si>
  <si>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</si>
  <si>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</si>
  <si>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</si>
  <si>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</si>
  <si>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</si>
  <si>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</si>
  <si>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</si>
  <si>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</si>
  <si>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</si>
  <si>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</si>
  <si>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</si>
  <si>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</si>
  <si>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</si>
  <si>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</si>
  <si>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</si>
  <si>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</si>
  <si>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</si>
  <si>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</si>
  <si>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</si>
  <si>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</si>
  <si>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</si>
  <si>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</si>
  <si>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</si>
  <si>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</si>
  <si>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</si>
  <si>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</si>
  <si>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</si>
  <si>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</si>
  <si>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</si>
  <si>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</si>
  <si>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</si>
  <si>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</si>
  <si>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</si>
  <si>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</si>
  <si>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</si>
  <si>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</si>
  <si>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</si>
  <si>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</si>
  <si>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</si>
  <si>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</si>
  <si>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</si>
  <si>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</si>
  <si>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</si>
  <si>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</si>
  <si>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</si>
  <si>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</si>
  <si>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</si>
  <si>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</si>
  <si>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</si>
  <si>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</si>
  <si>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</si>
  <si>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</si>
  <si>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</si>
  <si>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</si>
  <si>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</si>
  <si>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</si>
  <si>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</si>
  <si>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</si>
  <si>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</si>
  <si>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</si>
  <si>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</si>
  <si>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</si>
  <si>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</si>
  <si>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</si>
  <si>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</si>
  <si>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</si>
  <si>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</si>
  <si>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</si>
  <si>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</si>
  <si>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</si>
  <si>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</si>
  <si>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</si>
  <si>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</si>
  <si>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</si>
  <si>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</si>
  <si>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</si>
  <si>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</si>
  <si>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</si>
  <si>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</si>
  <si>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</si>
  <si>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</si>
  <si>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</si>
  <si>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</si>
  <si>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</si>
  <si>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</si>
  <si>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</si>
  <si>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</si>
  <si>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</si>
  <si>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</si>
  <si>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</si>
  <si>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</si>
  <si>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</si>
  <si>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</si>
  <si>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</si>
  <si>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</si>
  <si>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</si>
  <si>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</si>
  <si>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</si>
  <si>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</si>
  <si>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</si>
  <si>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</si>
  <si>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</si>
  <si>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</si>
  <si>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</si>
  <si>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</si>
  <si>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</si>
  <si>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</si>
  <si>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</si>
  <si>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</si>
  <si>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</si>
  <si>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</si>
  <si>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</si>
  <si>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</si>
  <si>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</si>
  <si>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</si>
  <si>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</si>
  <si>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</si>
  <si>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</si>
  <si>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</si>
  <si>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</si>
  <si>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</si>
  <si>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</si>
  <si>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</si>
  <si>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</si>
  <si>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</si>
  <si>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</si>
  <si>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</si>
  <si>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</si>
  <si>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</si>
  <si>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</si>
  <si>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</si>
  <si>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</si>
  <si>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</si>
  <si>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</si>
  <si>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</si>
  <si>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</si>
  <si>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</si>
  <si>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</si>
  <si>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</si>
  <si>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</si>
  <si>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</si>
  <si>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</si>
  <si>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</si>
  <si>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</si>
  <si>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</si>
  <si>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</si>
  <si>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</si>
  <si>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</si>
  <si>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</si>
  <si>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</si>
  <si>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</si>
  <si>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</si>
  <si>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</si>
  <si>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</si>
  <si>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</si>
  <si>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</si>
  <si>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</si>
  <si>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</si>
  <si>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</si>
  <si>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</si>
  <si>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</si>
  <si>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</si>
  <si>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</si>
  <si>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</si>
  <si>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</si>
  <si>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</si>
  <si>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</si>
  <si>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</si>
  <si>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</si>
  <si>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</si>
  <si>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</si>
  <si>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</si>
  <si>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</si>
  <si>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</si>
  <si>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</si>
  <si>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</si>
  <si>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</si>
  <si>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</si>
  <si>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</si>
  <si>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</si>
  <si>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</si>
  <si>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</si>
  <si>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</si>
  <si>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</si>
  <si>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</si>
  <si>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</si>
  <si>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</si>
  <si>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</si>
  <si>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</si>
  <si>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</si>
  <si>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</si>
  <si>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</si>
  <si>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</si>
  <si>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</si>
  <si>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</si>
  <si>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</si>
  <si>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</si>
  <si>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</si>
  <si>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</si>
  <si>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</si>
  <si>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</si>
  <si>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</si>
  <si>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</si>
  <si>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</si>
  <si>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</si>
  <si>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</si>
  <si>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</si>
  <si>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</si>
  <si>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</si>
  <si>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</si>
  <si>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</si>
  <si>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</si>
  <si>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</si>
  <si>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</si>
  <si>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</si>
  <si>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</si>
  <si>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</si>
  <si>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</si>
  <si>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</si>
  <si>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</si>
  <si>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</si>
  <si>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</si>
  <si>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</si>
  <si>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</si>
  <si>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</si>
  <si>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</si>
  <si>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</si>
  <si>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</si>
  <si>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</si>
  <si>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</si>
  <si>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</si>
  <si>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</si>
  <si>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</si>
  <si>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</si>
  <si>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</si>
  <si>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</si>
  <si>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</si>
  <si>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</si>
  <si>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</si>
  <si>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</si>
  <si>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</si>
  <si>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</si>
  <si>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</si>
  <si>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</si>
  <si>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</si>
  <si>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</si>
  <si>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</si>
  <si>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</si>
  <si>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</si>
  <si>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</si>
  <si>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</si>
  <si>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</si>
  <si>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</si>
  <si>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</si>
  <si>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</si>
  <si>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</si>
  <si>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</si>
  <si>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</si>
  <si>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</si>
  <si>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</si>
  <si>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</si>
  <si>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</si>
  <si>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</si>
  <si>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</si>
  <si>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</si>
  <si>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</si>
  <si>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</si>
  <si>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</si>
  <si>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</si>
  <si>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</si>
  <si>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</si>
  <si>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</si>
  <si>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</si>
  <si>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</si>
  <si>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</si>
  <si>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</si>
  <si>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</si>
  <si>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</si>
  <si>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</si>
  <si>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</si>
  <si>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</si>
  <si>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</si>
  <si>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</si>
  <si>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</si>
  <si>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</si>
  <si>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</si>
  <si>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</si>
  <si>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</si>
  <si>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</si>
  <si>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</si>
  <si>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</si>
  <si>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</si>
  <si>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</si>
  <si>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</si>
  <si>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</si>
  <si>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</si>
  <si>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</si>
  <si>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</si>
  <si>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</si>
  <si>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</si>
  <si>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</si>
  <si>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</si>
  <si>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</si>
  <si>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</si>
  <si>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</si>
  <si>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</si>
  <si>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</si>
  <si>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</si>
  <si>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</si>
  <si>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</si>
  <si>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</si>
  <si>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</si>
  <si>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</si>
  <si>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</si>
  <si>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</si>
  <si>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</si>
  <si>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</si>
  <si>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</si>
  <si>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</si>
  <si>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</si>
  <si>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</si>
  <si>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</si>
  <si>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</si>
  <si>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</si>
  <si>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</si>
  <si>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</si>
  <si>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</si>
  <si>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</si>
  <si>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</si>
  <si>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</si>
  <si>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</si>
  <si>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</si>
  <si>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</si>
  <si>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</si>
  <si>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</si>
  <si>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</si>
  <si>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</si>
  <si>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</si>
  <si>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</si>
  <si>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</si>
  <si>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</si>
  <si>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</si>
  <si>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</si>
  <si>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</si>
  <si>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</si>
  <si>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</si>
  <si>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</si>
  <si>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</si>
  <si>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</si>
  <si>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</si>
  <si>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</si>
  <si>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</si>
  <si>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</si>
  <si>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</si>
  <si>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</si>
  <si>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</si>
  <si>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</si>
  <si>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</si>
  <si>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</si>
  <si>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</si>
  <si>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</si>
  <si>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</si>
  <si>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</si>
  <si>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</si>
  <si>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</si>
  <si>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</si>
  <si>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</si>
  <si>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</si>
  <si>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</si>
  <si>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</si>
  <si>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</si>
  <si>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</si>
  <si>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</si>
  <si>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</si>
  <si>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</si>
  <si>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</si>
  <si>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</si>
  <si>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</si>
  <si>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</si>
  <si>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</si>
  <si>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</si>
  <si>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</si>
  <si>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</si>
  <si>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</si>
  <si>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</si>
  <si>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</si>
  <si>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</si>
  <si>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</si>
  <si>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</si>
  <si>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</si>
  <si>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</si>
  <si>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</si>
  <si>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</si>
  <si>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</si>
  <si>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</si>
  <si>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</si>
  <si>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</si>
  <si>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</si>
  <si>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</si>
  <si>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</si>
  <si>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</si>
  <si>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</si>
  <si>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</si>
  <si>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</si>
  <si>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</si>
  <si>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</si>
  <si>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</si>
  <si>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</si>
  <si>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</si>
  <si>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</si>
  <si>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</si>
  <si>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</si>
  <si>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</si>
  <si>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</si>
  <si>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</si>
  <si>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</si>
  <si>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</si>
  <si>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</si>
  <si>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</si>
  <si>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</si>
  <si>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</si>
  <si>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</si>
  <si>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</si>
  <si>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</si>
  <si>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</si>
  <si>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</si>
  <si>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</si>
  <si>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</si>
  <si>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</si>
  <si>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</si>
  <si>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</si>
  <si>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</si>
  <si>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</si>
  <si>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</si>
  <si>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</si>
  <si>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</si>
  <si>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</si>
  <si>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</si>
  <si>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</si>
  <si>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</si>
  <si>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</si>
  <si>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</si>
  <si>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</si>
  <si>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</si>
  <si>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</si>
  <si>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</si>
  <si>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</si>
  <si>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</si>
  <si>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</si>
  <si>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</si>
  <si>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</si>
  <si>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</si>
  <si>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</si>
  <si>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</si>
  <si>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</si>
  <si>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</si>
  <si>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</si>
  <si>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</si>
  <si>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</si>
  <si>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</si>
  <si>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</si>
  <si>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</si>
  <si>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</si>
  <si>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</si>
  <si>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</si>
  <si>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</si>
  <si>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</si>
  <si>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</si>
  <si>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</si>
  <si>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</si>
  <si>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</si>
  <si>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</si>
  <si>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</si>
  <si>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</si>
  <si>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</si>
  <si>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</si>
  <si>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</si>
  <si>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</si>
  <si>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</si>
  <si>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</si>
  <si>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</si>
  <si>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</si>
  <si>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</si>
  <si>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</si>
  <si>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</si>
  <si>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</si>
  <si>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</si>
  <si>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</si>
  <si>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</si>
  <si>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</si>
  <si>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</si>
  <si>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</si>
  <si>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</si>
  <si>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</si>
  <si>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</si>
  <si>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</si>
  <si>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</si>
  <si>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</si>
  <si>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</si>
  <si>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</si>
  <si>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</si>
  <si>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</si>
  <si>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</si>
  <si>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</si>
  <si>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</si>
  <si>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</si>
  <si>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</si>
  <si>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</si>
  <si>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</si>
  <si>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</si>
  <si>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</si>
  <si>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</si>
  <si>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</si>
  <si>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</si>
  <si>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</si>
  <si>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</si>
  <si>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</si>
  <si>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</si>
  <si>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</si>
  <si>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</si>
  <si>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</si>
  <si>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</si>
  <si>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</si>
  <si>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</si>
  <si>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</si>
  <si>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</si>
  <si>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</si>
  <si>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</si>
  <si>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</si>
  <si>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</si>
  <si>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</si>
  <si>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</si>
  <si>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</si>
  <si>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</si>
  <si>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</si>
  <si>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</si>
  <si>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</si>
  <si>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</si>
  <si>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</si>
  <si>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</si>
  <si>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</si>
  <si>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</si>
  <si>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</si>
  <si>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</si>
  <si>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</si>
  <si>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</si>
  <si>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</si>
  <si>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</si>
  <si>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</si>
  <si>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</si>
  <si>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</si>
  <si>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</si>
  <si>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</si>
  <si>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</si>
  <si>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</si>
  <si>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</si>
  <si>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</si>
  <si>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</si>
  <si>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</si>
  <si>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</si>
  <si>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</si>
  <si>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</si>
  <si>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</si>
  <si>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</si>
  <si>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</si>
  <si>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</si>
  <si>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</si>
  <si>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</si>
  <si>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</si>
  <si>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</si>
  <si>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</si>
  <si>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</si>
  <si>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</si>
  <si>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</si>
  <si>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</si>
  <si>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</si>
  <si>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</si>
  <si>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</si>
  <si>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</si>
  <si>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</si>
  <si>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</si>
  <si>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</si>
  <si>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</si>
  <si>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</si>
  <si>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</si>
  <si>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</si>
  <si>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</si>
  <si>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</si>
  <si>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</si>
  <si>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</si>
  <si>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</si>
  <si>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</si>
  <si>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</si>
  <si>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</si>
  <si>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</si>
  <si>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</si>
  <si>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</si>
  <si>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</si>
  <si>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</si>
  <si>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</si>
  <si>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</si>
  <si>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</si>
  <si>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</si>
  <si>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</si>
  <si>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</si>
  <si>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</si>
  <si>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</si>
  <si>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</si>
  <si>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</si>
  <si>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</si>
  <si>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</si>
  <si>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</si>
  <si>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</si>
  <si>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</si>
  <si>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</si>
  <si>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</si>
  <si>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</si>
  <si>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</si>
  <si>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</si>
  <si>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</si>
  <si>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</si>
  <si>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</si>
  <si>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</si>
  <si>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</si>
  <si>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</si>
  <si>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</si>
  <si>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</si>
  <si>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</si>
  <si>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</si>
  <si>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</si>
  <si>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</si>
  <si>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</si>
  <si>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</si>
  <si>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</si>
  <si>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</si>
  <si>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</si>
  <si>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</si>
  <si>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</si>
  <si>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</si>
  <si>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</si>
  <si>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</si>
  <si>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</si>
  <si>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</si>
  <si>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</si>
  <si>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</si>
  <si>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</si>
  <si>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</si>
  <si>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</si>
  <si>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</si>
  <si>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</si>
  <si>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</si>
  <si>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</si>
  <si>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</si>
  <si>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</si>
  <si>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</si>
  <si>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</si>
  <si>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</si>
  <si>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</si>
  <si>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</si>
  <si>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</si>
  <si>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</si>
  <si>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</si>
  <si>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</si>
  <si>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</si>
  <si>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</si>
  <si>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</si>
  <si>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</si>
  <si>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</si>
  <si>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</si>
  <si>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</si>
  <si>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</si>
  <si>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</si>
  <si>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</si>
  <si>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</si>
  <si>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</si>
  <si>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</si>
  <si>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</si>
  <si>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</si>
  <si>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</si>
  <si>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</si>
  <si>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</si>
  <si>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</si>
  <si>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</si>
  <si>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</si>
  <si>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</si>
  <si>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</si>
  <si>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</si>
  <si>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</si>
  <si>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</si>
  <si>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</si>
  <si>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</si>
  <si>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</si>
  <si>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</si>
  <si>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</si>
  <si>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</si>
  <si>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</si>
  <si>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</si>
  <si>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</si>
  <si>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</si>
  <si>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</si>
  <si>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</si>
  <si>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</si>
  <si>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</si>
  <si>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</si>
  <si>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</si>
  <si>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</si>
  <si>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</si>
  <si>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</si>
  <si>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</si>
  <si>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</si>
  <si>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</si>
  <si>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</si>
  <si>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</si>
  <si>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</si>
  <si>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</si>
  <si>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</si>
  <si>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</si>
  <si>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</si>
  <si>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</si>
  <si>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</si>
  <si>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</si>
  <si>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</si>
  <si>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</si>
  <si>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</si>
  <si>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</si>
  <si>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</si>
  <si>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</si>
  <si>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</si>
  <si>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</si>
  <si>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</si>
  <si>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</si>
  <si>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</si>
  <si>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</si>
  <si>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</si>
  <si>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</si>
  <si>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</si>
  <si>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</si>
  <si>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</si>
  <si>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</si>
  <si>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</si>
  <si>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</si>
  <si>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</si>
  <si>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</si>
  <si>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</si>
  <si>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</si>
  <si>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</si>
  <si>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</si>
  <si>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</si>
  <si>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</si>
  <si>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</si>
  <si>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</si>
  <si>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</si>
  <si>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</si>
  <si>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</si>
  <si>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</si>
  <si>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</si>
  <si>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</si>
  <si>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</si>
  <si>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</si>
  <si>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</si>
  <si>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</si>
  <si>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</si>
  <si>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</si>
  <si>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</si>
  <si>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</si>
  <si>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</si>
  <si>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</si>
  <si>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</si>
  <si>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</si>
  <si>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</si>
  <si>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</si>
  <si>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</si>
  <si>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</si>
  <si>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</si>
  <si>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</si>
  <si>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</si>
  <si>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</si>
  <si>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</si>
  <si>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</si>
  <si>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</si>
  <si>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</si>
  <si>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</si>
  <si>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</si>
  <si>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</si>
  <si>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</si>
  <si>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</si>
  <si>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</si>
  <si>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</si>
  <si>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</si>
  <si>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</si>
  <si>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</si>
  <si>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</si>
  <si>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</si>
  <si>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</si>
  <si>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</si>
  <si>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</si>
  <si>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</si>
  <si>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</si>
  <si>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</si>
  <si>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</si>
  <si>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</si>
  <si>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</si>
  <si>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</si>
  <si>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</si>
  <si>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</si>
  <si>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</si>
  <si>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</si>
  <si>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</si>
  <si>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</si>
  <si>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</si>
  <si>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</si>
  <si>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</si>
  <si>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</si>
  <si>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</si>
  <si>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</si>
  <si>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</si>
  <si>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</si>
  <si>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</si>
  <si>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</si>
  <si>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</si>
  <si>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</si>
  <si>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</si>
  <si>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</si>
  <si>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</si>
  <si>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</si>
  <si>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</si>
  <si>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</si>
  <si>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</si>
  <si>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</si>
  <si>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</si>
  <si>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</si>
  <si>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</si>
  <si>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</si>
  <si>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</si>
  <si>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</si>
  <si>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</si>
  <si>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</si>
  <si>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</si>
  <si>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</si>
  <si>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</si>
  <si>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</si>
  <si>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</si>
  <si>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</si>
  <si>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</si>
  <si>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</si>
  <si>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</si>
  <si>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</si>
  <si>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</si>
  <si>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</si>
  <si>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</si>
  <si>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</si>
  <si>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</si>
  <si>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</si>
  <si>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</si>
  <si>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</si>
  <si>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</si>
  <si>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</si>
  <si>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</si>
  <si>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</si>
  <si>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</si>
  <si>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</si>
  <si>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</si>
  <si>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</si>
  <si>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</si>
  <si>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</si>
  <si>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</si>
  <si>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</si>
  <si>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</si>
  <si>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</si>
  <si>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</si>
  <si>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</si>
  <si>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</si>
  <si>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</si>
  <si>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</si>
  <si>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</si>
  <si>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</si>
  <si>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</si>
  <si>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</si>
  <si>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</si>
  <si>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</si>
  <si>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</si>
  <si>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</si>
  <si>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</si>
  <si>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</si>
  <si>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</si>
  <si>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</si>
  <si>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</si>
  <si>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</si>
  <si>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</si>
  <si>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</si>
  <si>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</si>
  <si>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</si>
  <si>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</si>
  <si>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</si>
  <si>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</si>
  <si>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</si>
  <si>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</si>
  <si>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</si>
  <si>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</si>
  <si>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</si>
  <si>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</si>
  <si>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</si>
  <si>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</si>
  <si>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</si>
  <si>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</si>
  <si>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</si>
  <si>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</si>
  <si>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</si>
  <si>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</si>
  <si>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</si>
  <si>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</si>
  <si>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</si>
  <si>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</si>
  <si>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</si>
  <si>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</si>
  <si>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</si>
  <si>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</si>
  <si>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</si>
  <si>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</si>
  <si>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</si>
  <si>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</si>
  <si>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</si>
  <si>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</si>
  <si>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</si>
  <si>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</si>
  <si>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</si>
  <si>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</si>
  <si>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</si>
  <si>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</si>
  <si>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</si>
  <si>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</si>
  <si>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</si>
  <si>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</si>
  <si>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</si>
  <si>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</si>
  <si>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</si>
  <si>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</si>
  <si>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</si>
  <si>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</si>
  <si>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</si>
  <si>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</si>
  <si>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</si>
  <si>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</si>
  <si>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</si>
  <si>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</si>
  <si>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</si>
  <si>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</si>
  <si>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</si>
  <si>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</si>
  <si>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</si>
  <si>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</si>
  <si>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</si>
  <si>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</si>
  <si>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</si>
  <si>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</si>
  <si>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</si>
  <si>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</si>
  <si>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</si>
  <si>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</si>
  <si>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</si>
  <si>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</si>
  <si>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</si>
  <si>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</si>
  <si>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</si>
  <si>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</si>
  <si>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</si>
  <si>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</si>
  <si>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</si>
  <si>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</si>
  <si>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</si>
  <si>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</si>
  <si>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</si>
  <si>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</si>
  <si>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</si>
  <si>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</si>
  <si>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</si>
  <si>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</si>
  <si>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</si>
  <si>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</si>
  <si>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</si>
  <si>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</si>
  <si>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</si>
  <si>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</si>
  <si>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</si>
  <si>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</si>
  <si>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</si>
  <si>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</si>
  <si>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</si>
  <si>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</si>
  <si>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</si>
  <si>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</si>
  <si>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</si>
  <si>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</si>
  <si>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</si>
  <si>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</si>
  <si>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</si>
  <si>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</si>
  <si>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</si>
  <si>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</si>
  <si>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</si>
  <si>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</si>
  <si>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</si>
  <si>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</si>
  <si>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</si>
  <si>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</si>
  <si>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</si>
  <si>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</si>
  <si>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</si>
  <si>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</si>
  <si>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</si>
  <si>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</si>
  <si>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</si>
  <si>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</si>
  <si>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</si>
  <si>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</si>
  <si>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</si>
  <si>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</si>
  <si>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</si>
  <si>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</si>
  <si>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</si>
  <si>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</si>
  <si>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</si>
  <si>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</si>
  <si>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</si>
  <si>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</si>
  <si>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</si>
  <si>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</si>
  <si>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</si>
  <si>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</si>
  <si>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</si>
  <si>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</si>
  <si>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</si>
  <si>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</si>
  <si>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</si>
  <si>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</si>
  <si>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</si>
  <si>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</si>
  <si>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</si>
  <si>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</si>
  <si>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</si>
  <si>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</si>
  <si>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</si>
  <si>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</si>
  <si>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</si>
  <si>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</si>
  <si>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</si>
  <si>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</si>
  <si>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</si>
  <si>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</si>
  <si>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</si>
  <si>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</si>
  <si>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</si>
  <si>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</si>
  <si>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</si>
  <si>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</si>
  <si>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</si>
  <si>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</si>
  <si>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</si>
  <si>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</si>
  <si>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</si>
  <si>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</si>
  <si>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</si>
  <si>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</si>
  <si>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</si>
  <si>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</si>
  <si>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</si>
  <si>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</si>
  <si>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</si>
  <si>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</si>
  <si>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</si>
  <si>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</si>
  <si>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</si>
  <si>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</si>
  <si>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</si>
  <si>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</si>
  <si>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</si>
  <si>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</si>
  <si>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</si>
  <si>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</si>
  <si>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</si>
  <si>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</si>
  <si>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</si>
  <si>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</si>
  <si>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</si>
  <si>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</si>
  <si>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</si>
  <si>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</si>
  <si>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</si>
  <si>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</si>
  <si>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</si>
  <si>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</si>
  <si>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</si>
  <si>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</si>
  <si>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</si>
  <si>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</si>
  <si>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</si>
  <si>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</si>
  <si>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</si>
  <si>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</si>
  <si>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</si>
  <si>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</si>
  <si>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</si>
  <si>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</si>
  <si>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</si>
  <si>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</si>
  <si>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</si>
  <si>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</si>
  <si>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</si>
  <si>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</si>
  <si>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</si>
  <si>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</si>
  <si>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</si>
  <si>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</si>
  <si>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</si>
  <si>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</si>
  <si>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</si>
  <si>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</si>
  <si>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</si>
  <si>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</si>
  <si>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</si>
  <si>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</si>
  <si>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</si>
  <si>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</si>
  <si>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</si>
  <si>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</si>
  <si>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</si>
  <si>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</si>
  <si>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</si>
  <si>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</si>
  <si>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</si>
  <si>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</si>
  <si>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</si>
  <si>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</si>
  <si>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</si>
  <si>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</si>
  <si>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</si>
  <si>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</si>
  <si>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</si>
  <si>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</si>
  <si>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</si>
  <si>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</si>
  <si>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</si>
  <si>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</si>
  <si>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</si>
  <si>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</si>
  <si>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</si>
  <si>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</si>
  <si>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</si>
  <si>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</si>
  <si>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</si>
  <si>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</si>
  <si>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</si>
  <si>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</si>
  <si>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</si>
  <si>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</si>
  <si>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</si>
  <si>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</si>
  <si>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</si>
  <si>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</si>
  <si>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</si>
  <si>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</si>
  <si>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</si>
  <si>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</si>
  <si>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</si>
  <si>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</si>
  <si>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</si>
  <si>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</si>
  <si>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</si>
  <si>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</si>
  <si>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</si>
  <si>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</si>
  <si>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</si>
  <si>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</si>
  <si>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</si>
  <si>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</si>
  <si>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</si>
  <si>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</si>
  <si>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</si>
  <si>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</si>
  <si>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</si>
  <si>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</si>
  <si>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</si>
  <si>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</si>
  <si>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</si>
  <si>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</si>
  <si>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</si>
  <si>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</si>
  <si>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</si>
  <si>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</si>
  <si>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</si>
  <si>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</si>
  <si>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</si>
  <si>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</si>
  <si>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</si>
  <si>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</si>
  <si>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</si>
  <si>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</si>
  <si>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</si>
  <si>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</si>
  <si>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</si>
  <si>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</si>
  <si>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</si>
  <si>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</si>
  <si>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</si>
  <si>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</si>
  <si>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</si>
  <si>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</si>
  <si>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</si>
  <si>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</si>
  <si>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</si>
  <si>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</si>
  <si>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</si>
  <si>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</si>
  <si>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</si>
  <si>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</si>
  <si>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</si>
  <si>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</si>
  <si>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</si>
  <si>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</si>
  <si>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</si>
  <si>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</si>
  <si>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</si>
  <si>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</si>
  <si>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</si>
  <si>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</si>
  <si>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</si>
  <si>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</si>
  <si>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</si>
  <si>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</si>
  <si>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</si>
  <si>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</si>
  <si>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</si>
  <si>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</si>
  <si>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</si>
  <si>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</si>
  <si>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</si>
  <si>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</si>
  <si>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</si>
  <si>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</si>
  <si>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</si>
  <si>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</si>
  <si>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</si>
  <si>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</si>
  <si>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</si>
  <si>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</si>
  <si>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</si>
  <si>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</si>
  <si>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</si>
  <si>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</si>
  <si>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</si>
  <si>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</si>
  <si>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</si>
  <si>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</si>
  <si>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</si>
  <si>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</si>
  <si>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</si>
  <si>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</si>
  <si>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</si>
  <si>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</si>
  <si>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</si>
  <si>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</si>
  <si>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</si>
  <si>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</si>
  <si>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</si>
  <si>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</si>
  <si>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</si>
  <si>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</si>
  <si>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</si>
  <si>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</si>
  <si>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</si>
  <si>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</si>
  <si>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</si>
  <si>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</si>
  <si>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</si>
  <si>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</si>
  <si>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</si>
  <si>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</si>
  <si>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</si>
  <si>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</si>
  <si>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</si>
  <si>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</si>
  <si>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</si>
  <si>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</si>
  <si>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</si>
  <si>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</si>
  <si>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</si>
  <si>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</si>
  <si>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</si>
  <si>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</si>
  <si>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</si>
  <si>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</si>
  <si>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</si>
  <si>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</si>
  <si>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</si>
  <si>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</si>
  <si>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</si>
  <si>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</si>
  <si>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</si>
  <si>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</si>
  <si>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</si>
  <si>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</si>
  <si>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</si>
  <si>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</si>
  <si>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</si>
  <si>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</si>
  <si>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</si>
  <si>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</si>
  <si>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</si>
  <si>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</si>
  <si>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</si>
  <si>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</si>
  <si>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</si>
  <si>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</si>
  <si>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</si>
  <si>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</si>
  <si>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</si>
  <si>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</si>
  <si>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</si>
  <si>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</si>
  <si>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</si>
  <si>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</si>
  <si>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</si>
  <si>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</si>
  <si>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</si>
  <si>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</si>
  <si>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</si>
  <si>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</si>
  <si>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</si>
  <si>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</si>
  <si>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</si>
  <si>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</si>
  <si>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</si>
  <si>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</si>
  <si>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</si>
  <si>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</si>
  <si>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</si>
  <si>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</si>
  <si>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</si>
  <si>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</si>
  <si>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</si>
  <si>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</si>
  <si>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</si>
  <si>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</si>
  <si>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</si>
  <si>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</si>
  <si>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</si>
  <si>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</si>
  <si>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</si>
  <si>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</si>
  <si>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</si>
  <si>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</si>
  <si>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</si>
  <si>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</si>
  <si>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</si>
  <si>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</si>
  <si>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</si>
  <si>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</si>
  <si>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</si>
  <si>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</si>
  <si>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</si>
  <si>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</si>
  <si>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</si>
  <si>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</si>
  <si>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</si>
  <si>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</si>
  <si>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</si>
  <si>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</si>
  <si>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</si>
  <si>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</si>
  <si>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</si>
  <si>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</si>
  <si>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</si>
  <si>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</si>
  <si>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</si>
  <si>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</si>
  <si>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</si>
  <si>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</si>
  <si>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</si>
  <si>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</si>
  <si>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</si>
  <si>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</si>
  <si>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</si>
  <si>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</si>
  <si>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</si>
  <si>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</si>
  <si>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</si>
  <si>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</si>
  <si>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</si>
  <si>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</si>
  <si>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</si>
  <si>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</si>
  <si>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</si>
  <si>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</si>
  <si>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</si>
  <si>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</si>
  <si>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</si>
  <si>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</si>
  <si>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</si>
  <si>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</si>
  <si>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</si>
  <si>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</si>
  <si>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</si>
  <si>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</si>
  <si>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</si>
  <si>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</si>
  <si>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</si>
  <si>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</si>
  <si>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</si>
  <si>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</si>
  <si>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</si>
  <si>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</si>
  <si>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</si>
  <si>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</si>
  <si>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</si>
  <si>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</si>
  <si>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</si>
  <si>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</si>
  <si>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</si>
  <si>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</si>
  <si>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</si>
  <si>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</si>
  <si>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</si>
  <si>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</si>
  <si>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</si>
  <si>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</si>
  <si>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</si>
  <si>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</si>
  <si>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</si>
  <si>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</si>
  <si>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</si>
  <si>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</si>
  <si>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</si>
  <si>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</si>
  <si>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</si>
  <si>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</si>
  <si>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</si>
  <si>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</si>
  <si>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</si>
  <si>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</si>
  <si>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</si>
  <si>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</si>
  <si>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</si>
  <si>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</si>
  <si>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</si>
  <si>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</si>
  <si>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</si>
  <si>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</si>
  <si>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</si>
  <si>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</si>
  <si>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</si>
  <si>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</si>
  <si>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</si>
  <si>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</si>
  <si>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</si>
  <si>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</si>
  <si>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</si>
  <si>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</si>
  <si>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</si>
  <si>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</si>
  <si>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</si>
  <si>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</si>
  <si>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</si>
  <si>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</si>
  <si>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</si>
  <si>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</si>
  <si>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</si>
  <si>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</si>
  <si>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</si>
  <si>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</si>
  <si>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</si>
  <si>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</si>
  <si>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</si>
  <si>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</si>
  <si>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</si>
  <si>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</si>
  <si>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</si>
  <si>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</si>
  <si>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</si>
  <si>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</si>
  <si>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</si>
  <si>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</si>
  <si>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</si>
  <si>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</si>
  <si>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</si>
  <si>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</si>
  <si>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</si>
  <si>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</si>
  <si>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</si>
  <si>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</si>
  <si>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</si>
  <si>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</si>
  <si>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</si>
  <si>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</si>
  <si>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</si>
  <si>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</si>
  <si>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</si>
  <si>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</si>
  <si>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</si>
  <si>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</si>
  <si>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</si>
  <si>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</si>
  <si>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</si>
  <si>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</si>
  <si>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</si>
  <si>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</si>
  <si>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</si>
  <si>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</si>
  <si>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</si>
  <si>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</si>
  <si>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</si>
  <si>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</si>
  <si>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</si>
  <si>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</si>
  <si>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</si>
  <si>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</si>
  <si>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</si>
  <si>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</si>
  <si>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</si>
  <si>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</si>
  <si>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</si>
  <si>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</si>
  <si>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</si>
  <si>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</si>
  <si>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</si>
  <si>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</si>
  <si>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</si>
  <si>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</si>
  <si>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</si>
  <si>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</si>
  <si>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</si>
  <si>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</si>
  <si>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</si>
  <si>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</si>
  <si>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</si>
  <si>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</si>
  <si>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</si>
  <si>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</si>
  <si>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</si>
  <si>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</si>
  <si>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</si>
  <si>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</si>
  <si>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</si>
  <si>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</si>
  <si>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</si>
  <si>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</si>
  <si>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</si>
  <si>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</si>
  <si>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</si>
  <si>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</si>
  <si>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</si>
  <si>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</si>
  <si>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</si>
  <si>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</si>
  <si>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</si>
  <si>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</si>
  <si>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</si>
  <si>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</si>
  <si>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</si>
  <si>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</si>
  <si>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</si>
  <si>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</si>
  <si>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</si>
  <si>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</si>
  <si>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</si>
  <si>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</si>
  <si>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</si>
  <si>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</si>
  <si>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</si>
  <si>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</si>
  <si>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</si>
  <si>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</si>
  <si>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</si>
  <si>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</si>
  <si>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</si>
  <si>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</si>
  <si>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</si>
  <si>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</si>
  <si>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</si>
  <si>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</si>
  <si>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</si>
  <si>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</si>
  <si>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</si>
  <si>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</si>
  <si>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</si>
  <si>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</si>
  <si>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</si>
  <si>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</si>
  <si>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</si>
  <si>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</si>
  <si>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</si>
  <si>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</si>
  <si>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</si>
  <si>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</si>
  <si>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</si>
  <si>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</si>
  <si>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</si>
  <si>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</si>
  <si>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</si>
  <si>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</si>
  <si>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</si>
  <si>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</si>
  <si>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</si>
  <si>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</si>
  <si>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</si>
  <si>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</si>
  <si>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</si>
  <si>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</si>
  <si>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</si>
  <si>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</si>
  <si>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</si>
  <si>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</si>
  <si>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</si>
  <si>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</si>
  <si>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</si>
  <si>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</si>
  <si>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</si>
  <si>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</si>
  <si>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</si>
  <si>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</si>
  <si>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</si>
  <si>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</si>
  <si>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</si>
  <si>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</si>
  <si>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</si>
  <si>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</si>
  <si>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</si>
  <si>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</si>
  <si>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</si>
  <si>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</si>
  <si>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</si>
  <si>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</si>
  <si>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</si>
  <si>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</si>
  <si>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</si>
  <si>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</si>
  <si>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</si>
  <si>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</si>
  <si>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</si>
  <si>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</si>
  <si>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</si>
  <si>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</si>
  <si>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</si>
  <si>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</si>
  <si>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</si>
  <si>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</si>
  <si>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</si>
  <si>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</si>
  <si>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</si>
  <si>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</si>
  <si>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</si>
  <si>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</si>
  <si>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</si>
  <si>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</si>
  <si>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</si>
  <si>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</si>
  <si>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</si>
  <si>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</si>
  <si>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</si>
  <si>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</si>
  <si>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</si>
  <si>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</si>
  <si>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</si>
  <si>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</si>
  <si>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</si>
  <si>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</si>
  <si>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</si>
  <si>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</si>
  <si>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</si>
  <si>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</si>
  <si>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</si>
  <si>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</si>
  <si>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</si>
  <si>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</si>
  <si>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</si>
  <si>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</si>
  <si>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</si>
  <si>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</si>
  <si>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</si>
  <si>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</si>
  <si>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</si>
  <si>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</si>
  <si>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</si>
  <si>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</si>
  <si>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</si>
  <si>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</si>
  <si>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</si>
  <si>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</si>
  <si>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</si>
  <si>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</si>
  <si>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</si>
  <si>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</si>
  <si>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</si>
  <si>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</si>
  <si>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</si>
  <si>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</si>
  <si>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</si>
  <si>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</si>
  <si>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</si>
  <si>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</si>
  <si>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</si>
  <si>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</si>
  <si>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</si>
  <si>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</si>
  <si>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</si>
  <si>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</si>
  <si>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</si>
  <si>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</si>
  <si>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</si>
  <si>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</si>
  <si>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</si>
  <si>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</si>
  <si>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</si>
  <si>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</si>
  <si>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</si>
  <si>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</si>
  <si>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</si>
  <si>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</si>
  <si>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</si>
  <si>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</si>
  <si>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</si>
  <si>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</si>
  <si>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</si>
  <si>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</si>
  <si>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</si>
  <si>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</si>
  <si>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</si>
  <si>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</si>
  <si>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</si>
  <si>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</si>
  <si>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</si>
  <si>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</si>
  <si>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</si>
  <si>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</si>
  <si>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</si>
  <si>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</si>
  <si>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</si>
  <si>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</si>
  <si>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</si>
  <si>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</si>
  <si>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</si>
  <si>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</si>
  <si>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</si>
  <si>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</si>
  <si>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</si>
  <si>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</si>
  <si>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</si>
  <si>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</si>
  <si>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</si>
  <si>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</si>
  <si>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</si>
  <si>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</si>
  <si>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</si>
  <si>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</si>
  <si>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</si>
  <si>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</si>
  <si>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</si>
  <si>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</si>
  <si>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</si>
  <si>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</si>
  <si>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</si>
  <si>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</si>
  <si>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</si>
  <si>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</si>
  <si>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</si>
  <si>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</si>
  <si>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</si>
  <si>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</si>
  <si>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</si>
  <si>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</si>
  <si>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</si>
  <si>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</si>
  <si>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</si>
  <si>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</si>
  <si>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</si>
  <si>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</si>
  <si>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</si>
  <si>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</si>
  <si>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</si>
  <si>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</si>
  <si>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</si>
  <si>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</si>
  <si>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</si>
  <si>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</si>
  <si>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</si>
  <si>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</si>
  <si>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</si>
  <si>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</si>
  <si>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</si>
  <si>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</si>
  <si>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</si>
  <si>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</si>
  <si>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</si>
  <si>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</si>
  <si>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</si>
  <si>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</si>
  <si>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</si>
  <si>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</si>
  <si>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</si>
  <si>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</si>
  <si>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</si>
  <si>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</si>
  <si>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</si>
  <si>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</si>
  <si>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</si>
  <si>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</si>
  <si>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</si>
  <si>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</si>
  <si>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</si>
  <si>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</si>
  <si>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</si>
  <si>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</si>
  <si>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</si>
  <si>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</si>
  <si>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</si>
  <si>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</si>
  <si>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</si>
  <si>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</si>
  <si>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</si>
  <si>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</si>
  <si>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</si>
  <si>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</si>
  <si>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</si>
  <si>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</si>
  <si>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</si>
  <si>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</si>
  <si>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</si>
  <si>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</si>
  <si>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</si>
  <si>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</si>
  <si>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</si>
  <si>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</si>
  <si>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</si>
  <si>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</si>
  <si>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</si>
  <si>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</si>
  <si>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</si>
  <si>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</si>
  <si>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</si>
  <si>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</si>
  <si>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</si>
  <si>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</si>
  <si>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</si>
  <si>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</si>
  <si>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</si>
  <si>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</si>
  <si>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</si>
  <si>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</si>
  <si>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</si>
  <si>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</si>
  <si>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</si>
  <si>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</si>
  <si>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</si>
  <si>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</si>
  <si>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</si>
  <si>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</si>
  <si>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</si>
  <si>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</si>
  <si>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</si>
  <si>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</si>
  <si>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</si>
  <si>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</si>
  <si>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</si>
  <si>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</si>
  <si>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</si>
  <si>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</si>
  <si>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</si>
  <si>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</si>
  <si>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</si>
  <si>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</si>
  <si>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</si>
  <si>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</si>
  <si>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</si>
  <si>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</si>
  <si>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</si>
  <si>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</si>
  <si>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</si>
  <si>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</si>
  <si>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</si>
  <si>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</si>
  <si>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</si>
  <si>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</si>
  <si>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</si>
  <si>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</si>
  <si>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</si>
  <si>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</si>
  <si>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</si>
  <si>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</si>
  <si>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</si>
  <si>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</si>
  <si>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</si>
  <si>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</si>
  <si>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</si>
  <si>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</si>
  <si>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</si>
  <si>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</si>
  <si>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</si>
  <si>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</si>
  <si>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</si>
  <si>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</si>
  <si>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</si>
  <si>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</si>
  <si>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</si>
  <si>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</si>
  <si>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</si>
  <si>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</si>
  <si>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</si>
  <si>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</si>
  <si>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</si>
  <si>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</si>
  <si>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</si>
  <si>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</si>
  <si>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</si>
  <si>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</si>
  <si>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</si>
  <si>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</si>
  <si>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</si>
  <si>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</si>
  <si>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</si>
  <si>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</si>
  <si>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</si>
  <si>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</si>
  <si>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</si>
  <si>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</si>
  <si>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</si>
  <si>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</si>
  <si>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</si>
  <si>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</si>
  <si>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</si>
  <si>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</si>
  <si>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</si>
  <si>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</si>
  <si>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</si>
  <si>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</si>
  <si>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</si>
  <si>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</si>
  <si>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</si>
  <si>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</si>
  <si>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</si>
  <si>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</si>
  <si>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</si>
  <si>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</si>
  <si>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</si>
  <si>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</si>
  <si>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</si>
  <si>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</si>
  <si>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</si>
  <si>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</si>
  <si>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</si>
  <si>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</si>
  <si>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</si>
  <si>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</si>
  <si>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</si>
  <si>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</si>
  <si>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</si>
  <si>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</si>
  <si>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</si>
  <si>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</si>
  <si>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</si>
  <si>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</si>
  <si>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</si>
  <si>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</si>
  <si>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</si>
  <si>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</si>
  <si>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</si>
  <si>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</si>
  <si>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</si>
  <si>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</si>
  <si>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</si>
  <si>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</si>
  <si>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</si>
  <si>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</si>
  <si>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</si>
  <si>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</si>
  <si>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</si>
  <si>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</si>
  <si>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</si>
  <si>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</si>
  <si>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</si>
  <si>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</si>
  <si>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</si>
  <si>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</si>
  <si>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</si>
  <si>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</si>
  <si>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</si>
  <si>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</si>
  <si>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</si>
  <si>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</si>
  <si>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</si>
  <si>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</si>
  <si>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</si>
  <si>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</si>
  <si>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</si>
  <si>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</si>
  <si>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</si>
  <si>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</si>
  <si>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</si>
  <si>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</si>
  <si>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</si>
  <si>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</si>
  <si>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</si>
  <si>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</si>
  <si>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</si>
  <si>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</si>
  <si>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</si>
  <si>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</si>
  <si>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</si>
  <si>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</si>
  <si>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</si>
  <si>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</si>
  <si>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</si>
  <si>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</si>
  <si>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</si>
  <si>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</si>
  <si>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</si>
  <si>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</si>
  <si>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</si>
  <si>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</si>
  <si>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</si>
  <si>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</si>
  <si>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</si>
  <si>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</si>
  <si>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</si>
  <si>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</si>
  <si>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</si>
  <si>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</si>
  <si>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</si>
  <si>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</si>
  <si>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</si>
  <si>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</si>
  <si>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</si>
  <si>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</si>
  <si>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</si>
  <si>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</si>
  <si>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</si>
  <si>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</si>
  <si>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</si>
  <si>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</si>
  <si>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</si>
  <si>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</si>
  <si>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</si>
  <si>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</si>
  <si>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</si>
  <si>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</si>
  <si>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</si>
  <si>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</si>
  <si>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</si>
  <si>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</si>
  <si>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</si>
  <si>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</si>
  <si>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</si>
  <si>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</si>
  <si>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</si>
  <si>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</si>
  <si>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</si>
  <si>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</si>
  <si>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</si>
  <si>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</si>
  <si>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</si>
  <si>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</si>
  <si>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</si>
  <si>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</si>
  <si>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</si>
  <si>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</si>
  <si>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</si>
  <si>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</si>
  <si>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</si>
  <si>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</si>
  <si>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</si>
  <si>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</si>
  <si>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</si>
  <si>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</si>
  <si>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</si>
  <si>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</si>
  <si>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</si>
  <si>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</si>
  <si>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</si>
  <si>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</si>
  <si>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</si>
  <si>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</si>
  <si>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</si>
  <si>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</si>
  <si>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</si>
  <si>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</si>
  <si>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</si>
  <si>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</si>
  <si>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</si>
  <si>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</si>
  <si>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</si>
  <si>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</si>
  <si>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</si>
  <si>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</si>
  <si>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</si>
  <si>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</si>
  <si>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</si>
  <si>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</si>
  <si>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</si>
  <si>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</si>
  <si>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</si>
  <si>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</si>
  <si>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</si>
  <si>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</si>
  <si>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</si>
  <si>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</si>
  <si>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</si>
  <si>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</si>
  <si>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</si>
  <si>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</si>
  <si>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</si>
  <si>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</si>
  <si>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</si>
  <si>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</si>
  <si>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</si>
  <si>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</si>
  <si>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</si>
  <si>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</si>
  <si>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</si>
  <si>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</si>
  <si>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</si>
  <si>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</si>
  <si>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</si>
  <si>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</si>
  <si>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</si>
  <si>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</si>
  <si>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</si>
  <si>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</si>
  <si>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</si>
  <si>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</si>
  <si>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</si>
  <si>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</si>
  <si>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</si>
  <si>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</si>
  <si>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</si>
  <si>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</si>
  <si>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</si>
  <si>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</si>
  <si>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</si>
  <si>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</si>
  <si>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</si>
  <si>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</si>
  <si>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</si>
  <si>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</si>
  <si>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</si>
  <si>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</si>
  <si>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</si>
  <si>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</si>
  <si>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</si>
  <si>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</si>
  <si>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</si>
  <si>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</si>
  <si>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</si>
  <si>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</si>
  <si>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</si>
  <si>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</si>
  <si>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</si>
  <si>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</si>
  <si>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</si>
  <si>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</si>
  <si>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</si>
  <si>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</si>
  <si>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</si>
  <si>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</si>
  <si>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</si>
  <si>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</si>
  <si>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</si>
  <si>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</si>
  <si>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</si>
  <si>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</si>
  <si>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</si>
  <si>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</si>
  <si>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</si>
  <si>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</si>
  <si>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</si>
  <si>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</si>
  <si>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</si>
  <si>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</si>
  <si>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</si>
  <si>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</si>
  <si>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</si>
  <si>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</si>
  <si>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</si>
  <si>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</si>
  <si>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</si>
  <si>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</si>
  <si>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</si>
  <si>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</si>
  <si>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</si>
  <si>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</si>
  <si>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</si>
  <si>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</si>
  <si>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</si>
  <si>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</si>
  <si>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</si>
  <si>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</si>
  <si>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</si>
  <si>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</si>
  <si>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</si>
  <si>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</si>
  <si>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</si>
  <si>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</si>
  <si>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</si>
  <si>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</si>
  <si>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</si>
  <si>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</si>
  <si>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</si>
  <si>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</si>
  <si>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</si>
  <si>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</si>
  <si>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</si>
  <si>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</si>
  <si>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</si>
  <si>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</si>
  <si>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</si>
  <si>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</si>
  <si>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</si>
  <si>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</si>
  <si>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</si>
  <si>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</si>
  <si>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</si>
  <si>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</si>
  <si>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</si>
  <si>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</si>
  <si>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</si>
  <si>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</si>
  <si>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</si>
  <si>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</si>
  <si>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</si>
  <si>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</si>
  <si>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</si>
  <si>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</si>
  <si>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</si>
  <si>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</si>
  <si>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</si>
  <si>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</si>
  <si>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</si>
  <si>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</si>
  <si>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</si>
  <si>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</si>
  <si>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</si>
  <si>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</si>
  <si>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</si>
  <si>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</si>
  <si>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</si>
  <si>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</si>
  <si>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</si>
  <si>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</si>
  <si>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</si>
  <si>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</si>
  <si>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</si>
  <si>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</si>
  <si>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</si>
  <si>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</si>
  <si>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</si>
  <si>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</si>
  <si>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</si>
  <si>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</si>
  <si>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</si>
  <si>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</si>
  <si>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</si>
  <si>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</si>
  <si>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</si>
  <si>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</si>
  <si>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</si>
  <si>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</si>
  <si>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</si>
  <si>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</si>
  <si>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</si>
  <si>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</si>
  <si>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</si>
  <si>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</si>
  <si>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</si>
  <si>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</si>
  <si>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</si>
  <si>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</si>
  <si>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</si>
  <si>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</si>
  <si>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</si>
  <si>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</si>
  <si>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</si>
  <si>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</si>
  <si>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</si>
  <si>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</si>
  <si>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</si>
  <si>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</si>
  <si>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</si>
  <si>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</si>
  <si>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</si>
  <si>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</si>
  <si>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</si>
  <si>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</si>
  <si>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</si>
  <si>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</si>
  <si>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</si>
  <si>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</si>
  <si>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</si>
  <si>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</si>
  <si>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</si>
  <si>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</si>
  <si>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</si>
  <si>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</si>
  <si>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</si>
  <si>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</si>
  <si>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</si>
  <si>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</si>
  <si>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</si>
  <si>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</si>
  <si>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</si>
  <si>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</si>
  <si>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</si>
  <si>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</si>
  <si>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</si>
  <si>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</si>
  <si>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</si>
  <si>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</si>
  <si>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</si>
  <si>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</si>
  <si>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</si>
  <si>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</si>
  <si>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</si>
  <si>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</si>
  <si>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</si>
  <si>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</si>
  <si>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</si>
  <si>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</si>
  <si>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</si>
  <si>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</si>
  <si>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</si>
  <si>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</si>
  <si>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</si>
  <si>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</si>
  <si>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</si>
  <si>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</si>
  <si>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</si>
  <si>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</si>
  <si>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</si>
  <si>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</si>
  <si>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</si>
  <si>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</si>
  <si>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</si>
  <si>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</si>
  <si>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</si>
  <si>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</si>
  <si>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</si>
  <si>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</si>
  <si>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</si>
  <si>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</si>
  <si>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</si>
  <si>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</si>
  <si>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</si>
  <si>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</si>
  <si>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</si>
  <si>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</si>
  <si>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</si>
  <si>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</si>
  <si>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</si>
  <si>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</si>
  <si>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</si>
  <si>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</si>
  <si>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</si>
  <si>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</si>
  <si>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</si>
  <si>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</si>
  <si>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</si>
  <si>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</si>
  <si>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</si>
  <si>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</si>
  <si>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</si>
  <si>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</si>
  <si>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</si>
  <si>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</si>
  <si>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</si>
  <si>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</si>
  <si>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</si>
  <si>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</si>
  <si>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</si>
  <si>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</si>
  <si>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</si>
  <si>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</si>
  <si>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</si>
  <si>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</si>
  <si>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</si>
  <si>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</si>
  <si>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</si>
  <si>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</si>
  <si>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</si>
  <si>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</si>
  <si>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</si>
  <si>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</si>
  <si>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</si>
  <si>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</si>
  <si>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</si>
  <si>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</si>
  <si>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</si>
  <si>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</si>
  <si>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</si>
  <si>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</si>
  <si>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</si>
  <si>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</si>
  <si>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</si>
  <si>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</si>
  <si>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</si>
  <si>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</si>
  <si>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</si>
  <si>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</si>
  <si>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</si>
  <si>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</si>
  <si>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</si>
  <si>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</si>
  <si>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</si>
  <si>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</si>
  <si>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</si>
  <si>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</si>
  <si>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</si>
  <si>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</si>
  <si>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</si>
  <si>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</si>
  <si>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</si>
  <si>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</si>
  <si>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</si>
  <si>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</si>
  <si>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</si>
  <si>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</si>
  <si>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</si>
  <si>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</si>
  <si>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</si>
  <si>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</si>
  <si>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</si>
  <si>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</si>
  <si>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</si>
  <si>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</si>
  <si>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</si>
  <si>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</si>
  <si>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</si>
  <si>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</si>
  <si>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</si>
  <si>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</si>
  <si>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</si>
  <si>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</si>
  <si>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</si>
  <si>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</si>
  <si>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</si>
  <si>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</si>
  <si>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</si>
  <si>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</si>
  <si>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</si>
  <si>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</si>
  <si>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</si>
  <si>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</si>
  <si>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</si>
  <si>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</si>
  <si>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</si>
  <si>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</si>
  <si>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</si>
  <si>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</si>
  <si>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</si>
  <si>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</si>
  <si>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</si>
  <si>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</si>
  <si>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</si>
  <si>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</si>
  <si>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</si>
  <si>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</si>
  <si>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</si>
  <si>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</si>
  <si>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</si>
  <si>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</si>
  <si>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</si>
  <si>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</si>
  <si>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</si>
  <si>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</si>
  <si>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</si>
  <si>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</si>
  <si>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</si>
  <si>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</si>
  <si>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</si>
  <si>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</si>
  <si>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</si>
  <si>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</si>
  <si>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</si>
  <si>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</si>
  <si>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</si>
  <si>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</si>
  <si>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</si>
  <si>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</si>
  <si>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</si>
  <si>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</si>
  <si>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</si>
  <si>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</si>
  <si>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</si>
  <si>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</si>
  <si>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</si>
  <si>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</si>
  <si>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</si>
  <si>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</si>
  <si>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</si>
  <si>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</si>
  <si>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</si>
  <si>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</si>
  <si>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</si>
  <si>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</si>
  <si>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</si>
  <si>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</si>
  <si>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</si>
  <si>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</si>
  <si>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</si>
  <si>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</si>
  <si>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</si>
  <si>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</si>
  <si>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</si>
  <si>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</si>
  <si>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</si>
  <si>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</si>
  <si>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</si>
  <si>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</si>
  <si>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</si>
  <si>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</si>
  <si>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</si>
  <si>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</si>
  <si>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</si>
  <si>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</si>
  <si>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</si>
  <si>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</si>
  <si>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</si>
  <si>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</si>
  <si>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</si>
  <si>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</si>
  <si>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</si>
  <si>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</si>
  <si>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</si>
  <si>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</si>
  <si>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</si>
  <si>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</si>
  <si>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</si>
  <si>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</si>
  <si>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</si>
  <si>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</si>
  <si>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</si>
  <si>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</si>
  <si>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</si>
  <si>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</si>
  <si>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</si>
  <si>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</si>
  <si>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</si>
  <si>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</si>
  <si>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</si>
  <si>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</si>
  <si>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</si>
  <si>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</si>
  <si>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</si>
  <si>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</si>
  <si>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</si>
  <si>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</si>
  <si>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</si>
  <si>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</si>
  <si>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</si>
  <si>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</si>
  <si>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</si>
  <si>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</si>
  <si>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</si>
  <si>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</si>
  <si>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</si>
  <si>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</si>
  <si>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</si>
  <si>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</si>
  <si>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</si>
  <si>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</si>
  <si>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</si>
  <si>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</si>
  <si>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</si>
  <si>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</si>
  <si>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</si>
  <si>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</si>
  <si>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</si>
  <si>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</si>
  <si>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</si>
  <si>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</si>
  <si>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</si>
  <si>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</si>
  <si>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</si>
  <si>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</si>
  <si>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</si>
  <si>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</si>
  <si>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</si>
  <si>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</si>
  <si>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</si>
  <si>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</si>
  <si>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</si>
  <si>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</si>
  <si>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</si>
  <si>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</si>
  <si>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</si>
  <si>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</si>
  <si>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</si>
  <si>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</si>
  <si>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</si>
  <si>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</si>
  <si>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</si>
  <si>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</si>
  <si>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</si>
  <si>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</si>
  <si>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</si>
  <si>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</si>
  <si>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</si>
  <si>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</si>
  <si>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</si>
  <si>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</si>
  <si>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</si>
  <si>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</si>
  <si>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</si>
  <si>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</si>
  <si>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</si>
  <si>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</si>
  <si>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</si>
  <si>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</si>
  <si>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</si>
  <si>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</si>
  <si>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</si>
  <si>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</si>
  <si>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</si>
  <si>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</si>
  <si>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</si>
  <si>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</si>
  <si>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</si>
  <si>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</si>
  <si>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</si>
  <si>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</si>
  <si>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</si>
  <si>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</si>
  <si>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</si>
  <si>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</si>
  <si>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</si>
  <si>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</si>
  <si>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</si>
  <si>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</si>
  <si>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</si>
  <si>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</si>
  <si>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</si>
  <si>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</si>
  <si>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</si>
  <si>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</si>
  <si>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</si>
  <si>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</si>
  <si>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</si>
  <si>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</si>
  <si>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</si>
  <si>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</si>
  <si>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</si>
  <si>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</si>
  <si>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</si>
  <si>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</si>
  <si>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</si>
  <si>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</si>
  <si>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</si>
  <si>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</si>
  <si>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</si>
  <si>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</si>
  <si>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</si>
  <si>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</si>
  <si>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</si>
  <si>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</si>
  <si>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</si>
  <si>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</si>
  <si>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</si>
  <si>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</si>
  <si>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</si>
  <si>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</si>
  <si>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</si>
  <si>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</si>
  <si>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</si>
  <si>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</si>
  <si>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</si>
  <si>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</si>
  <si>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</si>
  <si>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</si>
  <si>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</si>
  <si>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</si>
  <si>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</si>
  <si>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</si>
  <si>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</si>
  <si>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</si>
  <si>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</si>
  <si>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</si>
  <si>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</si>
  <si>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</si>
  <si>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</si>
  <si>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</si>
  <si>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</si>
  <si>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</si>
  <si>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</si>
  <si>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</si>
  <si>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</si>
  <si>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</si>
  <si>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</si>
  <si>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</si>
  <si>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</si>
  <si>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</si>
  <si>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</si>
  <si>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</si>
  <si>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</si>
  <si>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</si>
  <si>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</si>
  <si>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</si>
  <si>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</si>
  <si>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</si>
  <si>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</si>
  <si>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</si>
  <si>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</si>
  <si>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</si>
  <si>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</si>
  <si>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</si>
  <si>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</si>
  <si>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</si>
  <si>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</si>
  <si>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</si>
  <si>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</si>
  <si>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</si>
  <si>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</si>
  <si>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</si>
  <si>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</si>
  <si>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</si>
  <si>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</si>
  <si>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</si>
  <si>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</si>
  <si>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</si>
  <si>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</si>
  <si>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</si>
  <si>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</si>
  <si>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</si>
  <si>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</si>
  <si>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</si>
  <si>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</si>
  <si>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</si>
  <si>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</si>
  <si>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</si>
  <si>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</si>
  <si>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</si>
  <si>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</si>
  <si>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</si>
  <si>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</si>
  <si>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</si>
  <si>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</si>
  <si>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</si>
  <si>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</si>
  <si>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</si>
  <si>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</si>
  <si>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</si>
  <si>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</si>
  <si>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</si>
  <si>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</si>
  <si>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</si>
  <si>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</si>
  <si>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</si>
  <si>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</si>
  <si>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</si>
  <si>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</si>
  <si>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</si>
  <si>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</si>
  <si>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</si>
  <si>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</si>
  <si>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</si>
  <si>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</si>
  <si>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</si>
  <si>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</si>
  <si>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</si>
  <si>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</si>
  <si>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</si>
  <si>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</si>
  <si>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</si>
  <si>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</si>
  <si>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</si>
  <si>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</si>
  <si>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</si>
  <si>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</si>
  <si>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</si>
  <si>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</si>
  <si>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</si>
  <si>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</si>
  <si>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</si>
  <si>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</si>
  <si>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</si>
  <si>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</si>
  <si>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</si>
  <si>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</si>
  <si>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</si>
  <si>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</si>
  <si>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</si>
  <si>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</si>
  <si>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</si>
  <si>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</si>
  <si>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</si>
  <si>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</si>
  <si>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</si>
  <si>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</si>
  <si>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</si>
  <si>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</si>
  <si>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</si>
  <si>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</si>
  <si>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</si>
  <si>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</si>
  <si>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</si>
  <si>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</si>
  <si>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</si>
  <si>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</si>
  <si>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</si>
  <si>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</si>
  <si>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</si>
  <si>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</si>
  <si>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</si>
  <si>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</si>
  <si>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</si>
  <si>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</si>
  <si>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</si>
  <si>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</si>
  <si>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</si>
  <si>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</si>
  <si>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</si>
  <si>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</si>
  <si>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</si>
  <si>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</si>
  <si>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</si>
  <si>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</si>
  <si>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</si>
  <si>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</si>
  <si>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</si>
  <si>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</si>
  <si>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</si>
  <si>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</si>
  <si>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</si>
  <si>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</si>
  <si>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</si>
  <si>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</si>
  <si>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</si>
  <si>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</si>
  <si>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</si>
  <si>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</si>
  <si>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</si>
  <si>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</si>
  <si>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</si>
  <si>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</si>
  <si>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</si>
  <si>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</si>
  <si>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</si>
  <si>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</si>
  <si>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</si>
  <si>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</si>
  <si>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</si>
  <si>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</si>
  <si>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</si>
  <si>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</si>
  <si>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</si>
  <si>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</si>
  <si>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</si>
  <si>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</si>
  <si>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</si>
  <si>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</si>
  <si>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</si>
  <si>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</si>
  <si>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</si>
  <si>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</si>
  <si>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</si>
  <si>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</si>
  <si>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</si>
  <si>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</si>
  <si>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</si>
  <si>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</si>
  <si>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</si>
  <si>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</si>
  <si>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</si>
  <si>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</si>
  <si>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</si>
  <si>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</si>
  <si>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</si>
  <si>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</si>
  <si>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</si>
  <si>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</si>
  <si>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</si>
  <si>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</si>
  <si>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</si>
  <si>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</si>
  <si>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</si>
  <si>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</si>
  <si>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</si>
  <si>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</si>
  <si>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</si>
  <si>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</si>
  <si>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</si>
  <si>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</si>
  <si>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</si>
  <si>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</si>
  <si>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</si>
  <si>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</si>
  <si>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</si>
  <si>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</si>
  <si>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</si>
  <si>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</si>
  <si>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</si>
  <si>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</si>
  <si>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</si>
  <si>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</si>
  <si>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</si>
  <si>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</si>
  <si>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</si>
  <si>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</si>
  <si>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</si>
  <si>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</si>
  <si>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</si>
  <si>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</si>
  <si>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</si>
  <si>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</si>
  <si>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</si>
  <si>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</si>
  <si>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</si>
  <si>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</si>
  <si>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</si>
  <si>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</si>
  <si>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</si>
  <si>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</si>
  <si>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</si>
  <si>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</si>
  <si>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</si>
  <si>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</si>
  <si>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</si>
  <si>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</si>
  <si>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</si>
  <si>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</si>
  <si>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</si>
  <si>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</si>
  <si>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</si>
  <si>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</si>
  <si>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</si>
  <si>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</si>
  <si>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</si>
  <si>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</si>
  <si>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</si>
  <si>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</si>
  <si>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</si>
  <si>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</si>
  <si>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</si>
  <si>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</si>
  <si>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</si>
  <si>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</si>
  <si>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</si>
  <si>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</si>
  <si>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</si>
  <si>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</si>
  <si>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</si>
  <si>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</si>
  <si>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</si>
  <si>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</si>
  <si>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</si>
  <si>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</si>
  <si>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</si>
  <si>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</si>
  <si>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</si>
  <si>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</si>
  <si>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</si>
  <si>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</si>
  <si>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</si>
  <si>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</si>
  <si>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</si>
  <si>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</si>
  <si>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</si>
  <si>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</si>
  <si>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</si>
  <si>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</si>
  <si>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</si>
  <si>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</si>
  <si>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</si>
  <si>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</si>
  <si>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</si>
  <si>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</si>
  <si>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</si>
  <si>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</si>
  <si>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</si>
  <si>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</si>
  <si>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</si>
  <si>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</si>
  <si>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</si>
  <si>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</si>
  <si>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</si>
  <si>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</si>
  <si>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</si>
  <si>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</si>
  <si>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</si>
  <si>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</si>
  <si>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</si>
  <si>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</si>
  <si>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</si>
  <si>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</si>
  <si>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</si>
  <si>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</si>
  <si>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</si>
  <si>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</si>
  <si>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</si>
  <si>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</si>
  <si>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</si>
  <si>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</si>
  <si>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</si>
  <si>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</si>
  <si>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</si>
  <si>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</si>
  <si>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</si>
  <si>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</si>
  <si>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</si>
  <si>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</si>
  <si>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</si>
  <si>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</si>
  <si>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</si>
  <si>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</si>
  <si>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</si>
  <si>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</si>
  <si>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</si>
  <si>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</si>
  <si>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</si>
  <si>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</si>
  <si>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</si>
  <si>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</si>
  <si>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</si>
  <si>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</si>
  <si>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</si>
  <si>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</si>
  <si>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</si>
  <si>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</si>
  <si>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</si>
  <si>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</si>
  <si>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</si>
  <si>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</si>
  <si>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</si>
  <si>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</si>
  <si>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</si>
  <si>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</si>
  <si>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</si>
  <si>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</si>
  <si>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</si>
  <si>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</si>
  <si>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</si>
  <si>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</si>
  <si>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</si>
  <si>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</si>
  <si>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</si>
  <si>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</si>
  <si>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</si>
  <si>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</si>
  <si>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</si>
  <si>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</si>
  <si>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</si>
  <si>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</si>
  <si>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</si>
  <si>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</si>
  <si>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</si>
  <si>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</si>
  <si>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</si>
  <si>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</si>
  <si>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</si>
  <si>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</si>
  <si>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</si>
  <si>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</si>
  <si>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</si>
  <si>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</si>
  <si>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</si>
  <si>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</si>
  <si>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</si>
  <si>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</si>
  <si>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</si>
  <si>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</si>
  <si>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</si>
  <si>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</si>
  <si>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</si>
  <si>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</si>
  <si>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</si>
  <si>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</si>
  <si>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</si>
  <si>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</si>
  <si>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</si>
  <si>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</si>
  <si>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</si>
  <si>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</si>
  <si>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</si>
  <si>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</si>
  <si>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</si>
  <si>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</si>
  <si>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</si>
  <si>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</si>
  <si>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</si>
  <si>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</si>
  <si>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</si>
  <si>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</si>
  <si>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</si>
  <si>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</si>
  <si>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</si>
  <si>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</si>
  <si>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</si>
  <si>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</si>
  <si>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</si>
  <si>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</si>
  <si>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</si>
  <si>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</si>
  <si>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</si>
  <si>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</si>
  <si>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</si>
  <si>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</si>
  <si>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</si>
  <si>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</si>
  <si>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</si>
  <si>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</si>
  <si>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</si>
  <si>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</si>
  <si>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</si>
  <si>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</si>
  <si>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</si>
  <si>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</si>
  <si>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</si>
  <si>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</si>
  <si>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</si>
  <si>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</si>
  <si>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</si>
  <si>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</si>
  <si>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</si>
  <si>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</si>
  <si>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</si>
  <si>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</si>
  <si>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</si>
  <si>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</si>
  <si>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</si>
  <si>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</si>
  <si>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</si>
  <si>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</si>
  <si>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</si>
  <si>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</si>
  <si>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</si>
  <si>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</si>
  <si>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</si>
  <si>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</si>
  <si>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</si>
  <si>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</si>
  <si>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</si>
  <si>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</si>
  <si>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</si>
  <si>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</si>
  <si>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</si>
  <si>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</si>
  <si>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</si>
  <si>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</si>
  <si>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</si>
  <si>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</si>
  <si>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</si>
  <si>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</si>
  <si>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</si>
  <si>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</si>
  <si>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</si>
  <si>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</si>
  <si>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</si>
  <si>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</si>
  <si>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</si>
  <si>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</si>
  <si>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</si>
  <si>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</si>
  <si>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</si>
  <si>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</si>
  <si>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</si>
  <si>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</si>
  <si>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</si>
  <si>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</si>
  <si>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</si>
  <si>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</si>
  <si>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</si>
  <si>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</si>
  <si>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</si>
  <si>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</si>
  <si>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</si>
  <si>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</si>
  <si>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</si>
  <si>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</si>
  <si>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</si>
  <si>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</si>
  <si>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</si>
  <si>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</si>
  <si>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</si>
  <si>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</si>
  <si>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</si>
  <si>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</si>
  <si>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</si>
  <si>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</si>
  <si>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</si>
  <si>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</si>
  <si>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</si>
  <si>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</si>
  <si>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</si>
  <si>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</si>
  <si>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</si>
  <si>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</si>
  <si>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</si>
  <si>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</si>
  <si>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</si>
  <si>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</si>
  <si>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</si>
  <si>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</si>
  <si>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</si>
  <si>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</si>
  <si>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</si>
  <si>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</si>
  <si>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</si>
  <si>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</si>
  <si>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</si>
  <si>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</si>
  <si>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</si>
  <si>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</si>
  <si>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</si>
  <si>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</si>
  <si>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</si>
  <si>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</si>
  <si>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</si>
  <si>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</si>
  <si>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</si>
  <si>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</si>
  <si>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</si>
  <si>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</si>
  <si>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</si>
  <si>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</si>
  <si>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</si>
  <si>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</si>
  <si>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</si>
  <si>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</si>
  <si>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</si>
  <si>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</si>
  <si>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</si>
  <si>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</si>
  <si>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</si>
  <si>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</si>
  <si>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</si>
  <si>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</si>
  <si>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</si>
  <si>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</si>
  <si>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</si>
  <si>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</si>
  <si>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</si>
  <si>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</si>
  <si>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</si>
  <si>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</si>
  <si>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</si>
  <si>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</si>
  <si>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</si>
  <si>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</si>
  <si>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</si>
  <si>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</si>
  <si>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</si>
  <si>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</si>
  <si>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</si>
  <si>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</si>
  <si>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</si>
  <si>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</si>
  <si>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</si>
  <si>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</si>
  <si>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</si>
  <si>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</si>
  <si>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</si>
  <si>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</si>
  <si>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</si>
  <si>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</si>
  <si>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</si>
  <si>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</si>
  <si>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</si>
  <si>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</si>
  <si>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</si>
  <si>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</si>
  <si>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</si>
  <si>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</si>
  <si>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</si>
  <si>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</si>
  <si>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</si>
  <si>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</si>
  <si>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</si>
  <si>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</si>
  <si>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</si>
  <si>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</si>
  <si>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</si>
  <si>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</si>
  <si>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</si>
  <si>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</si>
  <si>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</si>
  <si>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</si>
  <si>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</si>
  <si>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</si>
  <si>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</si>
  <si>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</si>
  <si>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</si>
  <si>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</si>
  <si>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</si>
  <si>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</si>
  <si>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</si>
  <si>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</si>
  <si>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</si>
  <si>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</si>
  <si>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</si>
  <si>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</si>
  <si>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</si>
  <si>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</si>
  <si>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</si>
  <si>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</si>
  <si>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</si>
  <si>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</si>
  <si>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</si>
  <si>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</si>
  <si>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</si>
  <si>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</si>
  <si>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</si>
  <si>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</si>
  <si>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</si>
  <si>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</si>
  <si>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</si>
  <si>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</si>
  <si>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</si>
  <si>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</si>
  <si>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</si>
  <si>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</si>
  <si>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</si>
  <si>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</si>
  <si>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</si>
  <si>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</si>
  <si>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</si>
  <si>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</si>
  <si>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</si>
  <si>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</si>
  <si>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</si>
  <si>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</si>
  <si>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</si>
  <si>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</si>
  <si>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</si>
  <si>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</si>
  <si>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</si>
  <si>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</si>
  <si>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</si>
  <si>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</si>
  <si>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</si>
  <si>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</si>
  <si>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</si>
  <si>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</si>
  <si>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</si>
  <si>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</si>
  <si>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</si>
  <si>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</si>
  <si>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</si>
  <si>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</si>
  <si>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</si>
  <si>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</si>
  <si>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</si>
  <si>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</si>
  <si>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</si>
  <si>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</si>
  <si>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</si>
  <si>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</si>
  <si>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</si>
  <si>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</si>
  <si>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</si>
  <si>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</si>
  <si>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</si>
  <si>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</si>
  <si>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</si>
  <si>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</si>
  <si>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</si>
  <si>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</si>
  <si>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</si>
  <si>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</si>
  <si>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</si>
  <si>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</si>
  <si>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</si>
  <si>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</si>
  <si>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</si>
  <si>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</si>
  <si>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</si>
  <si>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</si>
  <si>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</si>
  <si>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</si>
  <si>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</si>
  <si>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</si>
  <si>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</si>
  <si>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</si>
  <si>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</si>
  <si>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</si>
  <si>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</si>
  <si>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</si>
  <si>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</si>
  <si>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</si>
  <si>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</si>
  <si>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</si>
  <si>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</si>
  <si>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</si>
  <si>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</si>
  <si>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</si>
  <si>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</si>
  <si>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</si>
  <si>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</si>
  <si>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</si>
  <si>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</si>
  <si>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</si>
  <si>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</si>
  <si>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</si>
  <si>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</si>
  <si>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</si>
  <si>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</si>
  <si>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</si>
  <si>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</si>
  <si>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</si>
  <si>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</si>
  <si>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</si>
  <si>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</si>
  <si>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</si>
  <si>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</si>
  <si>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</si>
  <si>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</si>
  <si>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</si>
  <si>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</si>
  <si>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</si>
  <si>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</si>
  <si>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</si>
  <si>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</si>
  <si>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</si>
  <si>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</si>
  <si>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</si>
  <si>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</si>
  <si>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</si>
  <si>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</si>
  <si>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</si>
  <si>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</si>
  <si>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</si>
  <si>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</si>
  <si>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</si>
  <si>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</si>
  <si>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</si>
  <si>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</si>
  <si>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</si>
  <si>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</si>
  <si>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</si>
  <si>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</si>
  <si>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</si>
  <si>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</si>
  <si>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</si>
  <si>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</si>
  <si>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</si>
  <si>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</si>
  <si>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</si>
  <si>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</si>
  <si>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</si>
  <si>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</si>
  <si>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</si>
  <si>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</si>
  <si>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</si>
  <si>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</si>
  <si>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</si>
  <si>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</si>
  <si>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</si>
  <si>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</si>
  <si>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</si>
  <si>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</si>
  <si>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</si>
  <si>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</si>
  <si>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</si>
  <si>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</si>
  <si>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</si>
  <si>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</si>
  <si>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</si>
  <si>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</si>
  <si>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</si>
  <si>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</si>
  <si>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</si>
  <si>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</si>
  <si>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</si>
  <si>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</si>
  <si>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</si>
  <si>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</si>
  <si>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</si>
  <si>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</si>
  <si>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</si>
  <si>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</si>
  <si>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</si>
  <si>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</si>
  <si>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</si>
  <si>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</si>
  <si>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</si>
  <si>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</si>
  <si>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</si>
  <si>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</si>
  <si>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</si>
  <si>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</si>
  <si>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</si>
  <si>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</si>
  <si>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</si>
  <si>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</si>
  <si>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</si>
  <si>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</si>
  <si>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</si>
  <si>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</si>
  <si>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</si>
  <si>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</si>
  <si>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</si>
  <si>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</si>
  <si>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</si>
  <si>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</si>
  <si>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</si>
  <si>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</si>
  <si>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</si>
  <si>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</si>
  <si>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</si>
  <si>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</si>
  <si>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</si>
  <si>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</si>
  <si>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</si>
  <si>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</si>
  <si>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</si>
  <si>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</si>
  <si>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</si>
  <si>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</si>
  <si>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</si>
  <si>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</si>
  <si>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</si>
  <si>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</si>
  <si>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</si>
  <si>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</si>
  <si>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</si>
  <si>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</si>
  <si>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</si>
  <si>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</si>
  <si>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</si>
  <si>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</si>
  <si>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</si>
  <si>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</si>
  <si>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</si>
  <si>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</si>
  <si>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</si>
  <si>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</si>
  <si>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</si>
  <si>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</si>
  <si>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</si>
  <si>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</si>
  <si>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</si>
  <si>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</si>
  <si>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</si>
  <si>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</si>
  <si>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</si>
  <si>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</si>
  <si>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</si>
  <si>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</si>
  <si>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</si>
  <si>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</si>
  <si>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</si>
  <si>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</si>
  <si>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</si>
  <si>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</si>
  <si>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</si>
  <si>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</si>
  <si>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</si>
  <si>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</si>
  <si>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</si>
  <si>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</si>
  <si>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</si>
  <si>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</si>
  <si>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</si>
  <si>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</si>
  <si>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</si>
  <si>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</si>
  <si>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</si>
  <si>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</si>
  <si>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</si>
  <si>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</si>
  <si>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</si>
  <si>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</si>
  <si>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</si>
  <si>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</si>
  <si>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</si>
  <si>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</si>
  <si>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</si>
  <si>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</si>
  <si>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</si>
  <si>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</si>
  <si>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</si>
  <si>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</si>
  <si>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</si>
  <si>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</si>
  <si>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</si>
  <si>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</si>
  <si>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</si>
  <si>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</si>
  <si>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</si>
  <si>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</si>
  <si>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</si>
  <si>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</si>
  <si>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</si>
  <si>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</si>
  <si>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</si>
  <si>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</si>
  <si>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</si>
  <si>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</si>
  <si>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</si>
  <si>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</si>
  <si>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</si>
  <si>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</si>
  <si>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</si>
  <si>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</si>
  <si>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</si>
  <si>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</si>
  <si>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</si>
  <si>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</si>
  <si>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</si>
  <si>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</si>
  <si>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</si>
  <si>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</si>
  <si>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</si>
  <si>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</si>
  <si>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</si>
  <si>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</si>
  <si>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</si>
  <si>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</si>
  <si>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</si>
  <si>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</si>
  <si>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</si>
  <si>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</si>
  <si>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</si>
  <si>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</si>
  <si>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</si>
  <si>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</si>
  <si>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</si>
  <si>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</si>
  <si>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</si>
  <si>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</si>
  <si>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</si>
  <si>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</si>
  <si>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</si>
  <si>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</si>
  <si>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</si>
  <si>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</si>
  <si>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</si>
  <si>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</si>
  <si>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</si>
  <si>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</si>
  <si>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</si>
  <si>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</si>
  <si>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</si>
  <si>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</si>
  <si>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</si>
  <si>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</si>
  <si>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</si>
  <si>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</si>
  <si>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</si>
  <si>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</si>
  <si>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</si>
  <si>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</si>
  <si>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</si>
  <si>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</si>
  <si>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</si>
  <si>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</si>
  <si>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</si>
  <si>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</si>
  <si>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</si>
  <si>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</si>
  <si>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</si>
  <si>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</si>
  <si>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</si>
  <si>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</si>
  <si>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</si>
  <si>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</si>
  <si>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</si>
  <si>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</si>
  <si>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</si>
  <si>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</si>
  <si>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</si>
  <si>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</si>
  <si>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</si>
  <si>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</si>
  <si>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</si>
  <si>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</si>
  <si>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</si>
  <si>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</si>
  <si>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</si>
  <si>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</si>
  <si>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</si>
  <si>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</si>
  <si>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</si>
  <si>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</si>
  <si>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</si>
  <si>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</si>
  <si>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</si>
  <si>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</si>
  <si>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</si>
  <si>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</si>
  <si>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</si>
  <si>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</si>
  <si>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</si>
  <si>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</si>
  <si>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</si>
  <si>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</si>
  <si>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</si>
  <si>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</si>
  <si>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</si>
  <si>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</si>
  <si>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</si>
  <si>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</si>
  <si>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</si>
  <si>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</si>
  <si>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</si>
  <si>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</si>
  <si>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</si>
  <si>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</si>
  <si>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</si>
  <si>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</si>
  <si>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</si>
  <si>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</si>
  <si>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</si>
  <si>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</si>
  <si>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</si>
  <si>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</si>
  <si>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</si>
  <si>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</si>
  <si>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</si>
  <si>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</si>
  <si>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</si>
  <si>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</si>
  <si>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</si>
  <si>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</si>
  <si>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</si>
  <si>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</si>
  <si>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</si>
  <si>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</si>
  <si>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</si>
  <si>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</si>
  <si>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</si>
  <si>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</si>
  <si>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</si>
  <si>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</si>
  <si>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</si>
  <si>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</si>
  <si>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</si>
  <si>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</si>
  <si>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</si>
  <si>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</si>
  <si>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</si>
  <si>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</si>
  <si>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</si>
  <si>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</si>
  <si>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</si>
  <si>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</si>
  <si>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</si>
  <si>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</si>
  <si>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</si>
  <si>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</si>
  <si>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</si>
  <si>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</si>
  <si>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</si>
  <si>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</si>
  <si>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</si>
  <si>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</si>
  <si>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</si>
  <si>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</si>
  <si>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</si>
  <si>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</si>
  <si>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</si>
  <si>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</si>
  <si>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</si>
  <si>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</si>
  <si>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</si>
  <si>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</si>
  <si>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</si>
  <si>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</si>
  <si>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</si>
  <si>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</si>
  <si>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</si>
  <si>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</si>
  <si>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</si>
  <si>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</si>
  <si>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</si>
  <si>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</si>
  <si>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</si>
  <si>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</si>
  <si>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</si>
  <si>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</si>
  <si>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</si>
  <si>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</si>
  <si>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</si>
  <si>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</si>
  <si>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</si>
  <si>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</si>
  <si>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</si>
  <si>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</si>
  <si>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</si>
  <si>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</si>
  <si>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</si>
  <si>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</si>
  <si>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</si>
  <si>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</si>
  <si>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</si>
  <si>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</si>
  <si>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</si>
  <si>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</si>
  <si>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</si>
  <si>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</si>
  <si>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</si>
  <si>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</si>
  <si>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</si>
  <si>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</si>
  <si>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</si>
  <si>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</si>
  <si>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</si>
  <si>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</si>
  <si>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</si>
  <si>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</si>
  <si>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</si>
  <si>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</si>
  <si>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</si>
  <si>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</si>
  <si>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</si>
  <si>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</si>
  <si>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</si>
  <si>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</si>
  <si>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</si>
  <si>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</si>
  <si>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</si>
  <si>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</si>
  <si>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</si>
  <si>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</si>
  <si>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</si>
  <si>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</si>
  <si>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</si>
  <si>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</si>
  <si>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</si>
  <si>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</si>
  <si>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</si>
  <si>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</si>
  <si>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</si>
  <si>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</si>
  <si>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</si>
  <si>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</si>
  <si>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</si>
  <si>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</si>
  <si>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</si>
  <si>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</si>
  <si>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</si>
  <si>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</si>
  <si>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</si>
  <si>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</si>
  <si>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</si>
  <si>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</si>
  <si>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</si>
  <si>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</si>
  <si>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</si>
  <si>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</si>
  <si>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</si>
  <si>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</si>
  <si>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</si>
  <si>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</si>
  <si>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</si>
  <si>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</si>
  <si>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</si>
  <si>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</si>
  <si>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</si>
  <si>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</si>
  <si>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</si>
  <si>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</si>
  <si>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</si>
  <si>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</si>
  <si>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</si>
  <si>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</si>
  <si>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</si>
  <si>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</si>
  <si>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</si>
  <si>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</si>
  <si>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</si>
  <si>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</si>
  <si>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</si>
  <si>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</si>
  <si>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</si>
  <si>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</si>
  <si>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</si>
  <si>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</si>
  <si>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</si>
  <si>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</si>
  <si>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</si>
  <si>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</si>
  <si>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</si>
  <si>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</si>
  <si>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</si>
  <si>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</si>
  <si>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</si>
  <si>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</si>
  <si>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</si>
  <si>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</si>
  <si>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</si>
  <si>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</si>
  <si>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</si>
  <si>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</si>
  <si>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</si>
  <si>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</si>
  <si>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</si>
  <si>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</si>
  <si>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</si>
  <si>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</si>
  <si>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</si>
  <si>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</si>
  <si>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</si>
  <si>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</si>
  <si>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</si>
  <si>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</si>
  <si>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</si>
  <si>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</si>
  <si>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</si>
  <si>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</si>
  <si>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</si>
  <si>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</si>
  <si>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</si>
  <si>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</si>
  <si>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</si>
  <si>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</si>
  <si>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</si>
  <si>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</si>
  <si>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</si>
  <si>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</si>
  <si>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</si>
  <si>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</si>
  <si>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</si>
  <si>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</si>
  <si>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</si>
  <si>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</si>
  <si>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</si>
  <si>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</si>
  <si>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</si>
  <si>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</si>
  <si>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</si>
  <si>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</si>
  <si>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</si>
  <si>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</si>
  <si>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</si>
  <si>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</si>
  <si>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</si>
  <si>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</si>
  <si>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</si>
  <si>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</si>
  <si>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</si>
  <si>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</si>
  <si>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</si>
  <si>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</si>
  <si>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</si>
  <si>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</si>
  <si>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</si>
  <si>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</si>
  <si>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</si>
  <si>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</si>
  <si>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</si>
  <si>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</si>
  <si>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</si>
  <si>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</si>
  <si>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</si>
  <si>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</si>
  <si>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</si>
  <si>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</si>
  <si>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</si>
  <si>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</si>
  <si>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</si>
  <si>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</si>
  <si>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</si>
  <si>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</si>
  <si>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</si>
  <si>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</si>
  <si>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</si>
  <si>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</si>
  <si>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</si>
  <si>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</si>
  <si>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</si>
  <si>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</si>
  <si>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</si>
  <si>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</si>
  <si>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</si>
  <si>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</si>
  <si>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</si>
  <si>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</si>
  <si>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</si>
  <si>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</si>
  <si>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</si>
  <si>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</si>
  <si>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</si>
  <si>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</si>
  <si>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</si>
  <si>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</si>
  <si>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</si>
  <si>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</si>
  <si>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</si>
  <si>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</si>
  <si>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</si>
  <si>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</si>
  <si>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</si>
  <si>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</si>
  <si>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</si>
  <si>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</si>
  <si>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</si>
  <si>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</si>
  <si>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</si>
  <si>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</si>
  <si>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</si>
  <si>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</si>
  <si>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</si>
  <si>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</si>
  <si>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</si>
  <si>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</si>
  <si>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</si>
  <si>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</si>
  <si>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</si>
  <si>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</si>
  <si>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</si>
  <si>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</si>
  <si>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</si>
  <si>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</si>
  <si>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</si>
  <si>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</si>
  <si>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</si>
  <si>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</si>
  <si>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</si>
  <si>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</si>
  <si>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</si>
  <si>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</si>
  <si>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</si>
  <si>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</si>
  <si>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</si>
  <si>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</si>
  <si>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</si>
  <si>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</si>
  <si>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</si>
  <si>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</si>
  <si>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</si>
  <si>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</si>
  <si>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</si>
  <si>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</si>
  <si>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</si>
  <si>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</si>
  <si>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</si>
  <si>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</si>
  <si>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</si>
  <si>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</si>
  <si>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</si>
  <si>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</si>
  <si>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</si>
  <si>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</si>
  <si>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</si>
  <si>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</si>
  <si>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</si>
  <si>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</si>
  <si>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</si>
  <si>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</si>
  <si>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</si>
  <si>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</si>
  <si>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</si>
  <si>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</si>
  <si>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</si>
  <si>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</si>
  <si>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</si>
  <si>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</si>
  <si>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</si>
  <si>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</si>
  <si>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</si>
  <si>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</si>
  <si>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</si>
  <si>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</si>
  <si>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</si>
  <si>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</si>
  <si>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</si>
  <si>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</si>
  <si>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</si>
  <si>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</si>
  <si>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</si>
  <si>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</si>
  <si>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</si>
  <si>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</si>
  <si>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</si>
  <si>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</si>
  <si>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</si>
  <si>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</si>
  <si>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</si>
  <si>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</si>
  <si>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</si>
  <si>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</si>
  <si>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</si>
  <si>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</si>
  <si>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</si>
  <si>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</si>
  <si>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</si>
  <si>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</si>
  <si>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</si>
  <si>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</si>
  <si>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</si>
  <si>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</si>
  <si>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</si>
  <si>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</si>
  <si>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</si>
  <si>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</si>
  <si>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</si>
  <si>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</si>
  <si>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</si>
  <si>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</si>
  <si>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</si>
  <si>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</si>
  <si>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</si>
  <si>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</si>
  <si>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</si>
  <si>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</si>
  <si>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</si>
  <si>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</si>
  <si>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</si>
  <si>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</si>
  <si>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</si>
  <si>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</si>
  <si>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</si>
  <si>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</si>
  <si>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</si>
  <si>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</si>
  <si>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</si>
  <si>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</si>
  <si>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</si>
  <si>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</si>
  <si>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</si>
  <si>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</si>
  <si>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</si>
  <si>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</si>
  <si>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</si>
  <si>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</si>
  <si>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</si>
  <si>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</si>
  <si>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</si>
  <si>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</si>
  <si>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</si>
  <si>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</si>
  <si>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</si>
  <si>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</si>
  <si>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</si>
  <si>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</si>
  <si>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</si>
  <si>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</si>
  <si>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</si>
  <si>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</si>
  <si>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</si>
  <si>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</si>
  <si>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</si>
  <si>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</si>
  <si>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</si>
  <si>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</si>
  <si>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</si>
  <si>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</si>
  <si>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</si>
  <si>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</si>
  <si>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</si>
  <si>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</si>
  <si>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</si>
  <si>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</si>
  <si>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</si>
  <si>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</si>
  <si>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</si>
  <si>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</si>
  <si>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</si>
  <si>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</si>
  <si>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</si>
  <si>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</si>
  <si>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</si>
  <si>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</si>
  <si>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</si>
  <si>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</si>
  <si>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</si>
  <si>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</si>
  <si>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</si>
  <si>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</si>
  <si>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</si>
  <si>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</si>
  <si>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</si>
  <si>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</si>
  <si>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</si>
  <si>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</si>
  <si>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</si>
  <si>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</si>
  <si>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</si>
  <si>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</si>
  <si>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</si>
  <si>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</si>
  <si>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</si>
  <si>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</si>
  <si>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</si>
  <si>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</si>
  <si>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</si>
  <si>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</si>
  <si>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</si>
  <si>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</si>
  <si>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</si>
  <si>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</si>
  <si>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</si>
  <si>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</si>
  <si>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</si>
  <si>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</si>
  <si>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</si>
  <si>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</si>
  <si>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</si>
  <si>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</si>
  <si>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</si>
  <si>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</si>
  <si>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</si>
  <si>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</si>
  <si>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</si>
  <si>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</si>
  <si>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</si>
  <si>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</si>
  <si>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</si>
  <si>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</si>
  <si>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</si>
  <si>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</si>
  <si>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</si>
  <si>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</si>
  <si>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</si>
  <si>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</si>
  <si>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</si>
  <si>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</si>
  <si>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</si>
  <si>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</si>
  <si>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</si>
  <si>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</si>
  <si>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</si>
  <si>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</si>
  <si>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</si>
  <si>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</si>
  <si>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</si>
  <si>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</si>
  <si>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</si>
  <si>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</si>
  <si>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</si>
  <si>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</si>
  <si>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</si>
  <si>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</si>
  <si>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</si>
  <si>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</si>
  <si>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</si>
  <si>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</si>
  <si>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</si>
  <si>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</si>
  <si>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</si>
  <si>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</si>
  <si>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</si>
  <si>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</si>
  <si>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</si>
  <si>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</si>
  <si>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</si>
  <si>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</si>
  <si>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</si>
  <si>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</si>
  <si>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</si>
  <si>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</si>
  <si>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</si>
  <si>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</si>
  <si>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</si>
  <si>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</si>
  <si>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</si>
  <si>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</si>
  <si>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</si>
  <si>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</si>
  <si>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</si>
  <si>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</si>
  <si>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</si>
  <si>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</si>
  <si>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</si>
  <si>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</si>
  <si>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</si>
  <si>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</si>
  <si>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</si>
  <si>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</si>
  <si>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</si>
  <si>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</si>
  <si>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</si>
  <si>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</si>
  <si>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</si>
  <si>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</si>
  <si>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</si>
  <si>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</si>
  <si>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</si>
  <si>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</si>
  <si>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</si>
  <si>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</si>
  <si>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</si>
  <si>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</si>
  <si>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</si>
  <si>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</si>
  <si>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</si>
  <si>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</si>
  <si>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</si>
  <si>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</si>
  <si>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</si>
  <si>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</si>
  <si>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</si>
  <si>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</si>
  <si>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</si>
  <si>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</si>
  <si>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</si>
  <si>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</si>
  <si>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</si>
  <si>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</si>
  <si>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</si>
  <si>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</si>
  <si>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</si>
  <si>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</si>
  <si>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</si>
  <si>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</si>
  <si>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</si>
  <si>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</si>
  <si>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</si>
  <si>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</si>
  <si>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</si>
  <si>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</si>
  <si>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</si>
  <si>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</si>
  <si>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</si>
  <si>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</si>
  <si>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</si>
  <si>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</si>
  <si>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</si>
  <si>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</si>
  <si>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</si>
  <si>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</si>
  <si>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</si>
  <si>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</si>
  <si>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</si>
  <si>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</si>
  <si>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</si>
  <si>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</si>
  <si>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</si>
  <si>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</si>
  <si>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</si>
  <si>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</si>
  <si>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</si>
  <si>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</si>
  <si>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</si>
  <si>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</si>
  <si>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</si>
  <si>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</si>
  <si>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</si>
  <si>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</si>
  <si>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</si>
  <si>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</si>
  <si>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</si>
  <si>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</si>
  <si>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</si>
  <si>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</si>
  <si>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</si>
  <si>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</si>
  <si>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</si>
  <si>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</si>
  <si>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</si>
  <si>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</si>
  <si>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</si>
  <si>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</si>
  <si>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</si>
  <si>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</si>
  <si>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</si>
  <si>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</si>
  <si>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</si>
  <si>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</si>
  <si>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</si>
  <si>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</si>
  <si>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</si>
  <si>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</si>
  <si>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</si>
  <si>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</si>
  <si>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</si>
  <si>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</si>
  <si>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</si>
  <si>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</si>
  <si>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</si>
  <si>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</si>
  <si>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</si>
  <si>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</si>
  <si>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</si>
  <si>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</si>
  <si>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</si>
  <si>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</si>
  <si>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</si>
  <si>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</si>
  <si>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</si>
  <si>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</si>
  <si>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</si>
  <si>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</si>
  <si>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</si>
  <si>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</si>
  <si>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</si>
  <si>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</si>
  <si>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</si>
  <si>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</si>
  <si>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</si>
  <si>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</si>
  <si>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</si>
  <si>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</si>
  <si>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</si>
  <si>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</si>
  <si>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</si>
  <si>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</si>
  <si>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</si>
  <si>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</si>
  <si>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</si>
  <si>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</si>
  <si>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</si>
  <si>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</si>
  <si>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</si>
  <si>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</si>
  <si>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</si>
  <si>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</si>
  <si>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</si>
  <si>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</si>
  <si>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</si>
  <si>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</si>
  <si>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</si>
  <si>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</si>
  <si>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</si>
  <si>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</si>
  <si>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</si>
  <si>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</si>
  <si>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</si>
  <si>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</si>
  <si>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</si>
  <si>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</si>
  <si>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</si>
  <si>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</si>
  <si>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</si>
  <si>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</si>
  <si>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</si>
  <si>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</si>
  <si>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</si>
  <si>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</si>
  <si>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</si>
  <si>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</si>
  <si>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</si>
  <si>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</si>
  <si>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</si>
  <si>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</si>
  <si>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</si>
  <si>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</si>
  <si>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</si>
  <si>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</si>
  <si>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</si>
  <si>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</si>
  <si>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</si>
  <si>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</si>
  <si>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</si>
  <si>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</si>
  <si>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</si>
  <si>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</si>
  <si>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</si>
  <si>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</si>
  <si>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</si>
  <si>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</si>
  <si>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</si>
  <si>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</si>
  <si>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</si>
  <si>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</si>
  <si>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</si>
  <si>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</si>
  <si>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</si>
  <si>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</si>
  <si>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</si>
  <si>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</si>
  <si>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</si>
  <si>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</si>
  <si>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</si>
  <si>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</si>
  <si>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</si>
  <si>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</si>
  <si>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</si>
  <si>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</si>
  <si>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</si>
  <si>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</si>
  <si>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</si>
  <si>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</si>
  <si>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</si>
  <si>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</si>
  <si>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</si>
  <si>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</si>
  <si>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</si>
  <si>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</si>
  <si>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</si>
  <si>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</si>
  <si>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</si>
  <si>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</si>
  <si>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</si>
  <si>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</si>
  <si>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</si>
  <si>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</si>
  <si>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</si>
  <si>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</si>
  <si>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</si>
  <si>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</si>
  <si>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</si>
  <si>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</si>
  <si>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</si>
  <si>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</si>
  <si>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</si>
  <si>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</si>
  <si>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</si>
  <si>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</si>
  <si>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</si>
  <si>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</si>
  <si>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</si>
  <si>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</si>
  <si>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</si>
  <si>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</si>
  <si>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</si>
  <si>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</si>
  <si>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</si>
  <si>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</si>
  <si>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</si>
  <si>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</si>
  <si>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</si>
  <si>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</si>
  <si>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</si>
  <si>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</si>
  <si>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</si>
  <si>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</si>
  <si>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</si>
  <si>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</si>
  <si>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</si>
  <si>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</si>
  <si>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</si>
  <si>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</si>
  <si>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</si>
  <si>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</si>
  <si>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</si>
  <si>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</si>
  <si>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</si>
  <si>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</si>
  <si>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</si>
  <si>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</si>
  <si>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</si>
  <si>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</si>
  <si>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</si>
  <si>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</si>
  <si>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</si>
  <si>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</si>
  <si>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</si>
  <si>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</si>
  <si>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</si>
  <si>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</si>
  <si>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</si>
  <si>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</si>
  <si>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</si>
  <si>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</si>
  <si>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</si>
  <si>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</si>
  <si>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</si>
  <si>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</si>
  <si>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</si>
  <si>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</si>
  <si>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</si>
  <si>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</si>
  <si>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</si>
  <si>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</si>
  <si>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</si>
  <si>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</si>
  <si>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</si>
  <si>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</si>
  <si>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</si>
  <si>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</si>
  <si>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</si>
  <si>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</si>
  <si>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</si>
  <si>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</si>
  <si>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</si>
  <si>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</si>
  <si>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</si>
  <si>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</si>
  <si>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</si>
  <si>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</si>
  <si>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</si>
  <si>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</si>
  <si>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</si>
  <si>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</si>
  <si>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</si>
  <si>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</si>
  <si>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</si>
  <si>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</si>
  <si>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</si>
  <si>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</si>
  <si>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</si>
  <si>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</si>
  <si>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</si>
  <si>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</si>
  <si>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</si>
  <si>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</si>
  <si>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</si>
  <si>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</si>
  <si>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</si>
  <si>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</si>
  <si>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</si>
  <si>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</si>
  <si>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</si>
  <si>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</si>
  <si>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</si>
  <si>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</si>
  <si>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</si>
  <si>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</si>
  <si>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</si>
  <si>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</si>
  <si>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</si>
  <si>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</si>
  <si>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</si>
  <si>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</si>
  <si>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</si>
  <si>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</si>
  <si>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</si>
  <si>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</si>
  <si>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</si>
  <si>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</si>
  <si>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</si>
  <si>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</si>
  <si>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</si>
  <si>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</si>
  <si>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</si>
  <si>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</si>
  <si>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</si>
  <si>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</si>
  <si>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</si>
  <si>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</si>
  <si>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</si>
  <si>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</si>
  <si>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</si>
  <si>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</si>
  <si>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</si>
  <si>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</si>
  <si>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</si>
  <si>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</si>
  <si>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</si>
  <si>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</si>
  <si>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</si>
  <si>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</si>
  <si>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</si>
  <si>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</si>
  <si>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</si>
  <si>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</si>
  <si>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</si>
  <si>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</si>
  <si>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</si>
  <si>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</si>
  <si>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</si>
  <si>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</si>
  <si>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</si>
  <si>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</si>
  <si>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</si>
  <si>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</si>
  <si>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</si>
  <si>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</si>
  <si>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</si>
  <si>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</si>
  <si>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</si>
  <si>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</si>
  <si>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</si>
  <si>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</si>
  <si>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</si>
  <si>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</si>
  <si>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</si>
  <si>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</si>
  <si>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</si>
  <si>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</si>
  <si>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</si>
  <si>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</si>
  <si>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</si>
  <si>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</si>
  <si>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</si>
  <si>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</si>
  <si>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</si>
  <si>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</si>
  <si>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</si>
  <si>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</si>
  <si>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</si>
  <si>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</si>
  <si>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</si>
  <si>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</si>
  <si>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</si>
  <si>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</si>
  <si>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</si>
  <si>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</si>
  <si>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</si>
  <si>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</si>
  <si>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</si>
  <si>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</si>
  <si>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</si>
  <si>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</si>
  <si>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</si>
  <si>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</si>
  <si>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</si>
  <si>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</si>
  <si>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</si>
  <si>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</si>
  <si>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</si>
  <si>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</si>
  <si>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</si>
  <si>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</si>
  <si>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</si>
  <si>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</si>
  <si>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</si>
  <si>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</si>
  <si>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</si>
  <si>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</si>
  <si>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</si>
  <si>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</si>
  <si>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</si>
  <si>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</si>
  <si>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</si>
  <si>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</si>
  <si>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</si>
  <si>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</si>
  <si>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</si>
  <si>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</si>
  <si>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</si>
  <si>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</si>
  <si>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</si>
  <si>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</si>
  <si>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</si>
  <si>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</si>
  <si>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</si>
  <si>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</si>
  <si>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</si>
  <si>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</si>
  <si>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</si>
  <si>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</si>
  <si>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</si>
  <si>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</si>
  <si>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</si>
  <si>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</si>
  <si>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</si>
  <si>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</si>
  <si>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</si>
  <si>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</si>
  <si>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</si>
  <si>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</si>
  <si>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</si>
  <si>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</si>
  <si>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</si>
  <si>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</si>
  <si>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</si>
  <si>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</si>
  <si>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</si>
  <si>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</si>
  <si>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</si>
  <si>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</si>
  <si>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</si>
  <si>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</si>
  <si>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</si>
  <si>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</si>
  <si>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</si>
  <si>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</si>
  <si>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</si>
  <si>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</si>
  <si>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</si>
  <si>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</si>
  <si>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</si>
  <si>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</si>
  <si>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</si>
  <si>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</si>
  <si>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</si>
  <si>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</si>
  <si>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</si>
  <si>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</si>
  <si>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</si>
  <si>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</si>
  <si>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</si>
  <si>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</si>
  <si>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</si>
  <si>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</si>
  <si>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</si>
  <si>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</si>
  <si>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</si>
  <si>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</si>
  <si>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</si>
  <si>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</si>
  <si>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</si>
  <si>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</si>
  <si>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</si>
  <si>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</si>
  <si>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</si>
  <si>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</si>
  <si>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</si>
  <si>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</si>
  <si>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</si>
  <si>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</si>
  <si>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</si>
  <si>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</si>
  <si>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</si>
  <si>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</si>
  <si>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</si>
  <si>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</si>
  <si>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</si>
  <si>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</si>
  <si>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</si>
  <si>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</si>
  <si>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</si>
  <si>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</si>
  <si>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</si>
  <si>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</si>
  <si>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</si>
  <si>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</si>
  <si>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</si>
  <si>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</si>
  <si>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</si>
  <si>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</si>
  <si>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</si>
  <si>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</si>
  <si>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</si>
  <si>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</si>
  <si>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</si>
  <si>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</si>
  <si>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</si>
  <si>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</si>
  <si>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</si>
  <si>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</si>
  <si>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</si>
  <si>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</si>
  <si>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</si>
  <si>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</si>
  <si>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</si>
  <si>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</si>
  <si>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</si>
  <si>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</si>
  <si>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</si>
  <si>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</si>
  <si>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</si>
  <si>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</si>
  <si>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</si>
  <si>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</si>
  <si>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</si>
  <si>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</si>
  <si>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</si>
  <si>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</si>
  <si>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</si>
  <si>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</si>
  <si>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</si>
  <si>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</si>
  <si>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</si>
  <si>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</si>
  <si>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</si>
  <si>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</si>
  <si>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</si>
  <si>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</si>
  <si>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</si>
  <si>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</si>
  <si>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</si>
  <si>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</si>
  <si>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</si>
  <si>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</si>
  <si>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</si>
  <si>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</si>
  <si>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</si>
  <si>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</si>
  <si>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</si>
  <si>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</si>
  <si>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</si>
  <si>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</si>
  <si>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</si>
  <si>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</si>
  <si>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</si>
  <si>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</si>
  <si>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</si>
  <si>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</si>
  <si>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</si>
  <si>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</si>
  <si>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</si>
  <si>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</si>
  <si>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</si>
  <si>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</si>
  <si>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</si>
  <si>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</si>
  <si>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</si>
  <si>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</si>
  <si>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</si>
  <si>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</si>
  <si>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</si>
  <si>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</si>
  <si>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</si>
  <si>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</si>
  <si>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</si>
  <si>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</si>
  <si>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</si>
  <si>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</si>
  <si>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</si>
  <si>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</si>
  <si>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</si>
  <si>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</si>
  <si>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</si>
  <si>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</si>
  <si>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</si>
  <si>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</si>
  <si>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</si>
  <si>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</si>
  <si>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</si>
  <si>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</si>
  <si>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</si>
  <si>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</si>
  <si>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</si>
  <si>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</si>
  <si>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</si>
  <si>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</si>
  <si>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</si>
  <si>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</si>
  <si>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</si>
  <si>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</si>
  <si>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</si>
  <si>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</si>
  <si>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</si>
  <si>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</si>
  <si>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</si>
  <si>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</si>
  <si>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</si>
  <si>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</si>
  <si>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</si>
  <si>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</si>
  <si>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</si>
  <si>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</si>
  <si>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</si>
  <si>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</si>
  <si>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</si>
  <si>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</si>
  <si>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</si>
  <si>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</si>
  <si>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</si>
  <si>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</si>
  <si>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</si>
  <si>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</si>
  <si>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</si>
  <si>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</si>
  <si>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</si>
  <si>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</si>
  <si>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</si>
  <si>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</si>
  <si>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</si>
  <si>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</si>
  <si>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</si>
  <si>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</si>
  <si>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</si>
  <si>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</si>
  <si>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</si>
  <si>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</si>
  <si>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</si>
  <si>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</si>
  <si>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</si>
  <si>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</si>
  <si>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</si>
  <si>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</si>
  <si>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</si>
  <si>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</si>
  <si>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</si>
  <si>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</si>
  <si>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</si>
  <si>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</si>
  <si>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</si>
  <si>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</si>
  <si>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</si>
  <si>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</si>
  <si>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</si>
  <si>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</si>
  <si>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</si>
  <si>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</si>
  <si>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</si>
  <si>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</si>
  <si>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</si>
  <si>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</si>
  <si>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</si>
  <si>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</si>
  <si>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</si>
  <si>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</si>
  <si>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</si>
  <si>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</si>
  <si>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</si>
  <si>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</si>
  <si>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</si>
  <si>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</si>
  <si>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</si>
  <si>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</si>
  <si>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</si>
  <si>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</si>
  <si>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</si>
  <si>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</si>
  <si>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</si>
  <si>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</si>
  <si>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</si>
  <si>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</si>
  <si>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</si>
  <si>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</si>
  <si>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</si>
  <si>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</si>
  <si>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</si>
  <si>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</si>
  <si>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</si>
  <si>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</si>
  <si>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</si>
  <si>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</si>
  <si>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</si>
  <si>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</si>
  <si>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</si>
  <si>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</si>
  <si>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</si>
  <si>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</si>
  <si>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</si>
  <si>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</si>
  <si>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</si>
  <si>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</si>
  <si>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</si>
  <si>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</si>
  <si>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</si>
  <si>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</si>
  <si>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</si>
  <si>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</si>
  <si>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</si>
  <si>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</si>
  <si>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</si>
  <si>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</si>
  <si>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</si>
  <si>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</si>
  <si>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</si>
  <si>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</si>
  <si>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</si>
  <si>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</si>
  <si>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</si>
  <si>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</si>
  <si>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</si>
  <si>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</si>
  <si>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</si>
  <si>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</si>
  <si>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</si>
  <si>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</si>
  <si>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</si>
  <si>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</si>
  <si>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</si>
  <si>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</si>
  <si>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</si>
  <si>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</si>
  <si>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</si>
  <si>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</si>
  <si>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</si>
  <si>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</si>
  <si>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</si>
  <si>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</si>
  <si>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</si>
  <si>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</si>
  <si>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</si>
  <si>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</si>
  <si>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</si>
  <si>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</si>
  <si>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</si>
  <si>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</si>
  <si>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</si>
  <si>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</si>
  <si>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</si>
  <si>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</si>
  <si>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</si>
  <si>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</si>
  <si>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</si>
  <si>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</si>
  <si>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</si>
  <si>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</si>
  <si>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</si>
  <si>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</si>
  <si>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</si>
  <si>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</si>
  <si>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</si>
  <si>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</si>
  <si>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</si>
  <si>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</si>
  <si>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</si>
  <si>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</si>
  <si>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</si>
  <si>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</si>
  <si>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</si>
  <si>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</si>
  <si>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</si>
  <si>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</si>
  <si>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</si>
  <si>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</si>
  <si>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</si>
  <si>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</si>
  <si>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</si>
  <si>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</si>
  <si>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</si>
  <si>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</si>
  <si>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</si>
  <si>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</si>
  <si>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</si>
  <si>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</si>
  <si>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</si>
  <si>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</si>
  <si>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</si>
  <si>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</si>
  <si>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</si>
  <si>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</si>
  <si>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</si>
  <si>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</si>
  <si>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</si>
  <si>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</si>
  <si>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</si>
  <si>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</si>
  <si>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</si>
  <si>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</si>
  <si>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</si>
  <si>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</si>
  <si>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</si>
  <si>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</si>
  <si>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</si>
  <si>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</si>
  <si>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</si>
  <si>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</si>
  <si>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</si>
  <si>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</si>
  <si>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</si>
  <si>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</si>
  <si>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</si>
  <si>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</si>
  <si>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</si>
  <si>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</si>
  <si>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</si>
  <si>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</si>
  <si>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</si>
  <si>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</si>
  <si>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</si>
  <si>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</si>
  <si>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</si>
  <si>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</si>
  <si>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</si>
  <si>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</si>
  <si>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</si>
  <si>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</si>
  <si>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</si>
  <si>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</si>
  <si>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</si>
  <si>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</si>
  <si>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</si>
  <si>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</si>
  <si>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</si>
  <si>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</si>
  <si>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</si>
  <si>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</si>
  <si>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</si>
  <si>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</si>
  <si>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</si>
  <si>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</si>
  <si>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</si>
  <si>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</si>
  <si>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</si>
  <si>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</si>
  <si>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</si>
  <si>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</si>
  <si>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</si>
  <si>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</si>
  <si>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</si>
  <si>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</si>
  <si>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</si>
  <si>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</si>
  <si>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</si>
  <si>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</si>
  <si>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</si>
  <si>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</si>
  <si>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</si>
  <si>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</si>
  <si>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</si>
  <si>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</si>
  <si>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</si>
  <si>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</si>
  <si>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</si>
  <si>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</si>
  <si>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</si>
  <si>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</si>
  <si>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</si>
  <si>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</si>
  <si>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</si>
  <si>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</si>
  <si>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</si>
  <si>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</si>
  <si>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</si>
  <si>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</si>
  <si>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</si>
  <si>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</si>
  <si>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</si>
  <si>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</si>
  <si>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</si>
  <si>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</si>
  <si>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</si>
  <si>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</si>
  <si>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</si>
  <si>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</si>
  <si>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</si>
  <si>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</si>
  <si>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</si>
  <si>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</si>
  <si>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</si>
  <si>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</si>
  <si>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</si>
  <si>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</si>
  <si>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</si>
  <si>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</si>
  <si>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</si>
  <si>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</si>
  <si>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</si>
  <si>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</si>
  <si>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</si>
  <si>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</si>
  <si>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</si>
  <si>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</si>
  <si>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</si>
  <si>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</si>
  <si>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</si>
  <si>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</si>
  <si>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</si>
  <si>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</si>
  <si>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</si>
  <si>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</si>
  <si>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</si>
  <si>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</si>
  <si>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</si>
  <si>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</si>
  <si>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</si>
  <si>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</si>
  <si>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</si>
  <si>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</si>
  <si>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</si>
  <si>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</si>
  <si>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</si>
  <si>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</si>
  <si>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</si>
  <si>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</si>
  <si>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</si>
  <si>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</si>
  <si>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</si>
  <si>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</si>
  <si>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</si>
  <si>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</si>
  <si>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</si>
  <si>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</si>
  <si>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</si>
  <si>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</si>
  <si>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</si>
  <si>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</si>
  <si>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</si>
  <si>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</si>
  <si>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</si>
  <si>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</si>
  <si>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</si>
  <si>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</si>
  <si>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</si>
  <si>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</si>
  <si>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</si>
  <si>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</si>
  <si>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</si>
  <si>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</si>
  <si>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</si>
  <si>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</si>
  <si>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</si>
  <si>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</si>
  <si>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</si>
  <si>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</si>
  <si>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</si>
  <si>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</si>
  <si>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</si>
  <si>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</si>
  <si>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</si>
  <si>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</si>
  <si>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</si>
  <si>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</si>
  <si>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</si>
  <si>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</si>
  <si>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</si>
  <si>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</si>
  <si>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</si>
  <si>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</si>
  <si>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</si>
  <si>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</si>
  <si>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</si>
  <si>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</si>
  <si>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</si>
  <si>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</si>
  <si>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</si>
  <si>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</si>
  <si>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</si>
  <si>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</si>
  <si>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</si>
  <si>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</si>
  <si>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</si>
  <si>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</si>
  <si>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</si>
  <si>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</si>
  <si>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</si>
  <si>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</si>
  <si>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</si>
  <si>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</si>
  <si>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</si>
  <si>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</si>
  <si>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</si>
  <si>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</si>
  <si>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</si>
  <si>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</si>
  <si>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</si>
  <si>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</si>
  <si>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</si>
  <si>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</si>
  <si>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</si>
  <si>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</si>
  <si>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</si>
  <si>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</si>
  <si>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</si>
  <si>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</si>
  <si>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</si>
  <si>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</si>
  <si>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</si>
  <si>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</si>
  <si>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</si>
  <si>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</si>
  <si>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</si>
  <si>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</si>
  <si>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</si>
  <si>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</si>
  <si>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</si>
  <si>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</si>
  <si>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</si>
  <si>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</si>
  <si>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</si>
  <si>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</si>
  <si>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</si>
  <si>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</si>
  <si>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</si>
  <si>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</si>
  <si>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</si>
  <si>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</si>
  <si>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</si>
  <si>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</si>
  <si>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</si>
  <si>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</si>
  <si>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</si>
  <si>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</si>
  <si>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</si>
  <si>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</si>
  <si>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</si>
  <si>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</si>
  <si>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</si>
  <si>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</si>
  <si>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</si>
  <si>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</si>
  <si>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</si>
  <si>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</si>
  <si>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</si>
  <si>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</si>
  <si>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</si>
  <si>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</si>
  <si>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</si>
  <si>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</si>
  <si>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</si>
  <si>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</si>
  <si>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</si>
  <si>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</si>
  <si>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</si>
  <si>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</si>
  <si>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</si>
  <si>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</si>
  <si>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</si>
  <si>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</si>
  <si>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</si>
  <si>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</si>
  <si>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</si>
  <si>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</si>
  <si>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</si>
  <si>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</si>
  <si>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</si>
  <si>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</si>
  <si>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</si>
  <si>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</si>
  <si>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</si>
  <si>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</si>
  <si>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</si>
  <si>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</si>
  <si>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</si>
  <si>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</si>
  <si>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</si>
  <si>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</si>
  <si>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</si>
  <si>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</si>
  <si>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</si>
  <si>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</si>
  <si>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</si>
  <si>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</si>
  <si>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</si>
  <si>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</si>
  <si>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</si>
  <si>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</si>
  <si>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</si>
  <si>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</si>
  <si>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</si>
  <si>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</si>
  <si>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</si>
  <si>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</si>
  <si>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</si>
  <si>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</si>
  <si>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</si>
  <si>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</si>
  <si>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</si>
  <si>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</si>
  <si>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</si>
  <si>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</si>
  <si>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</si>
  <si>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</si>
  <si>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</si>
  <si>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</si>
  <si>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</si>
  <si>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</si>
  <si>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</si>
  <si>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</si>
  <si>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</si>
  <si>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</si>
  <si>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</si>
  <si>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</si>
  <si>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</si>
  <si>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</si>
  <si>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</si>
  <si>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</si>
  <si>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</si>
  <si>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</si>
  <si>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</si>
  <si>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</si>
  <si>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</si>
  <si>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</si>
  <si>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</si>
  <si>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</si>
  <si>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</si>
  <si>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</si>
  <si>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</si>
  <si>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</si>
  <si>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</si>
  <si>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</si>
  <si>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</si>
  <si>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</si>
  <si>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</si>
  <si>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</si>
  <si>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</si>
  <si>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</si>
  <si>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</si>
  <si>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</si>
  <si>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</si>
  <si>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</si>
  <si>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</si>
  <si>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</si>
  <si>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</si>
  <si>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</si>
  <si>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</si>
  <si>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</si>
  <si>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</si>
  <si>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</si>
  <si>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</si>
  <si>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</si>
  <si>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</si>
  <si>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</si>
  <si>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</si>
  <si>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</si>
  <si>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</si>
  <si>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</si>
  <si>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</si>
  <si>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</si>
  <si>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</si>
  <si>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</si>
  <si>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</si>
  <si>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</si>
  <si>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</si>
  <si>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</si>
  <si>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</si>
  <si>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</si>
  <si>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</si>
  <si>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</si>
  <si>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</si>
  <si>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</si>
  <si>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</si>
  <si>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</si>
  <si>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</si>
  <si>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</si>
  <si>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</si>
  <si>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</si>
  <si>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</si>
  <si>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</si>
  <si>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</si>
  <si>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</si>
  <si>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</si>
  <si>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</si>
  <si>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</si>
  <si>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</si>
  <si>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</si>
  <si>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</si>
  <si>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</si>
  <si>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</si>
  <si>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</si>
  <si>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</si>
  <si>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</si>
  <si>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</si>
  <si>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</si>
  <si>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</si>
  <si>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</si>
  <si>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</si>
  <si>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</si>
  <si>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</si>
  <si>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</si>
  <si>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</si>
  <si>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</si>
  <si>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</si>
  <si>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</si>
  <si>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</si>
  <si>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</si>
  <si>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</si>
  <si>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</si>
  <si>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</si>
  <si>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</si>
  <si>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</si>
  <si>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</si>
  <si>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</si>
  <si>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</si>
  <si>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</si>
  <si>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</si>
  <si>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</si>
  <si>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</si>
  <si>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</si>
  <si>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</si>
  <si>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</si>
  <si>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</si>
  <si>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</si>
  <si>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</si>
  <si>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</si>
  <si>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</si>
  <si>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</si>
  <si>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</si>
  <si>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</si>
  <si>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</si>
  <si>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</si>
  <si>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</si>
  <si>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</si>
  <si>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</si>
  <si>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</si>
  <si>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</si>
  <si>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</si>
  <si>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</si>
  <si>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</si>
  <si>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</si>
  <si>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</si>
  <si>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</si>
  <si>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</si>
  <si>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</si>
  <si>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</si>
  <si>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</si>
  <si>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</si>
  <si>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</si>
  <si>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</si>
  <si>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</si>
  <si>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</si>
  <si>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</si>
  <si>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</si>
  <si>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</si>
  <si>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</si>
  <si>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</si>
  <si>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</si>
  <si>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</si>
  <si>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</si>
  <si>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</si>
  <si>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</si>
  <si>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</si>
  <si>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</si>
  <si>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</si>
  <si>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</si>
  <si>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</si>
  <si>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</si>
  <si>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</si>
  <si>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</si>
  <si>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</si>
  <si>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</si>
  <si>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</si>
  <si>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</si>
  <si>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</si>
  <si>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</si>
  <si>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</si>
  <si>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</si>
  <si>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</si>
  <si>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</si>
  <si>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</si>
  <si>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</si>
  <si>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</si>
  <si>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</si>
  <si>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</si>
  <si>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</si>
  <si>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</si>
  <si>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</si>
  <si>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</si>
  <si>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</si>
  <si>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</si>
  <si>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</si>
  <si>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</si>
  <si>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</si>
  <si>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</si>
  <si>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</si>
  <si>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</si>
  <si>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</si>
  <si>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</si>
  <si>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</si>
  <si>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</si>
  <si>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</si>
  <si>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</si>
  <si>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</si>
  <si>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</si>
  <si>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</si>
  <si>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</si>
  <si>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</si>
  <si>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</si>
  <si>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</si>
  <si>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</si>
  <si>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</si>
  <si>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</si>
  <si>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</si>
  <si>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</si>
  <si>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</si>
  <si>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</si>
  <si>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</si>
  <si>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</si>
  <si>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</si>
  <si>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</si>
  <si>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</si>
  <si>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</si>
  <si>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</si>
  <si>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</si>
  <si>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</si>
  <si>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</si>
  <si>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</si>
  <si>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</si>
  <si>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</si>
  <si>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</si>
  <si>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</si>
  <si>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</si>
  <si>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</si>
  <si>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</si>
  <si>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</si>
  <si>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</si>
  <si>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</si>
  <si>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</si>
  <si>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</si>
  <si>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</si>
  <si>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</si>
  <si>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</si>
  <si>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</si>
  <si>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</si>
  <si>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</si>
  <si>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</si>
  <si>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</si>
  <si>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</si>
  <si>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</si>
  <si>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</si>
  <si>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</si>
  <si>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</si>
  <si>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</si>
  <si>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</si>
  <si>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</si>
  <si>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</si>
  <si>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</si>
  <si>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</si>
  <si>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</si>
  <si>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</si>
  <si>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</si>
  <si>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</si>
  <si>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</si>
  <si>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</si>
  <si>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</si>
  <si>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</si>
  <si>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</si>
  <si>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</si>
  <si>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</si>
  <si>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</si>
  <si>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</si>
  <si>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</si>
  <si>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</si>
  <si>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</si>
  <si>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</si>
  <si>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</si>
  <si>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</si>
  <si>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</si>
  <si>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</si>
  <si>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</si>
  <si>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</si>
  <si>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</si>
  <si>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</si>
  <si>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</si>
  <si>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</si>
  <si>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</si>
  <si>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</si>
  <si>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</si>
  <si>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</si>
  <si>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</si>
  <si>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</si>
  <si>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</si>
  <si>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</si>
  <si>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</si>
  <si>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</si>
  <si>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</si>
  <si>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</si>
  <si>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</si>
  <si>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</si>
  <si>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</si>
  <si>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</si>
  <si>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</si>
  <si>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</si>
  <si>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</si>
  <si>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</si>
  <si>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</si>
  <si>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</si>
  <si>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</si>
  <si>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</si>
  <si>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</si>
  <si>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</si>
  <si>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</si>
  <si>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</si>
  <si>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</si>
  <si>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</si>
  <si>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</si>
  <si>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</si>
  <si>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</si>
  <si>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</si>
  <si>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</si>
  <si>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</si>
  <si>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</si>
  <si>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</si>
  <si>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</si>
  <si>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</si>
  <si>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</si>
  <si>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</si>
  <si>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</si>
  <si>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</si>
  <si>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</si>
  <si>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</si>
  <si>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</si>
  <si>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</si>
  <si>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</si>
  <si>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</si>
  <si>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</si>
  <si>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</si>
  <si>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</si>
  <si>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</si>
  <si>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</si>
  <si>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</si>
  <si>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</si>
  <si>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</si>
  <si>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</si>
  <si>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</si>
  <si>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</si>
  <si>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</si>
  <si>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</si>
  <si>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</si>
  <si>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</si>
  <si>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</si>
  <si>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</si>
  <si>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</si>
  <si>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</si>
  <si>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</si>
  <si>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</si>
  <si>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</si>
  <si>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</si>
  <si>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</si>
  <si>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</si>
  <si>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</si>
  <si>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</si>
  <si>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</si>
  <si>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</si>
  <si>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</si>
  <si>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</si>
  <si>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</si>
  <si>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</si>
  <si>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</si>
  <si>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</si>
  <si>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</si>
  <si>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</si>
  <si>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</si>
  <si>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</si>
  <si>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</si>
  <si>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</si>
  <si>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</si>
  <si>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</si>
  <si>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</si>
  <si>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</si>
  <si>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</si>
  <si>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</si>
  <si>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</si>
  <si>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</si>
  <si>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</si>
  <si>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</si>
  <si>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</si>
  <si>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</si>
  <si>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</si>
  <si>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</si>
  <si>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</si>
  <si>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</si>
  <si>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</si>
  <si>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</si>
  <si>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</si>
  <si>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</si>
  <si>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</si>
  <si>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</si>
  <si>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</si>
  <si>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</si>
  <si>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</si>
  <si>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</si>
  <si>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</si>
  <si>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</si>
  <si>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</si>
  <si>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</si>
  <si>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</si>
  <si>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</si>
  <si>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</si>
  <si>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</si>
  <si>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</si>
  <si>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</si>
  <si>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</si>
  <si>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</si>
  <si>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</si>
  <si>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</si>
  <si>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</si>
  <si>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</si>
  <si>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</si>
  <si>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</si>
  <si>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</si>
  <si>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</si>
  <si>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</si>
  <si>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</si>
  <si>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</si>
  <si>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</si>
  <si>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</si>
  <si>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</si>
  <si>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</si>
  <si>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</si>
  <si>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</si>
  <si>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</si>
  <si>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</si>
  <si>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</si>
  <si>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</si>
  <si>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</si>
  <si>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</si>
  <si>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</si>
  <si>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</si>
  <si>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</si>
  <si>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</si>
  <si>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</si>
  <si>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</si>
  <si>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</si>
  <si>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</si>
  <si>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</si>
  <si>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</si>
  <si>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</si>
  <si>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</si>
  <si>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</si>
  <si>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</si>
  <si>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</si>
  <si>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</si>
  <si>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</si>
  <si>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</si>
  <si>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</si>
  <si>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</si>
  <si>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</si>
  <si>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</si>
  <si>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</si>
  <si>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</si>
  <si>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</si>
  <si>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</si>
  <si>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</si>
  <si>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</si>
  <si>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</si>
  <si>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</si>
  <si>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</si>
  <si>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</si>
  <si>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</si>
  <si>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</si>
  <si>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</si>
  <si>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</si>
  <si>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</si>
  <si>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</si>
  <si>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</si>
  <si>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</si>
  <si>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</si>
  <si>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</si>
  <si>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</si>
  <si>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</si>
  <si>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</si>
  <si>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</si>
  <si>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</si>
  <si>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</si>
  <si>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</si>
  <si>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</si>
  <si>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</si>
  <si>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</si>
  <si>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</si>
  <si>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</si>
  <si>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</si>
  <si>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</si>
  <si>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</si>
  <si>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</si>
  <si>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</si>
  <si>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</si>
  <si>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</si>
  <si>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</si>
  <si>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</si>
  <si>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</si>
  <si>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</si>
  <si>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</si>
  <si>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</si>
  <si>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</si>
  <si>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</si>
  <si>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</si>
  <si>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</si>
  <si>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</si>
  <si>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</si>
  <si>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</si>
  <si>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</si>
  <si>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</si>
  <si>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</si>
  <si>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</si>
  <si>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</si>
  <si>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</si>
  <si>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</si>
  <si>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</si>
  <si>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</si>
  <si>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</si>
  <si>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</si>
  <si>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</si>
  <si>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</si>
  <si>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</si>
  <si>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</si>
  <si>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</si>
  <si>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</si>
  <si>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</si>
  <si>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</si>
  <si>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</si>
  <si>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</si>
  <si>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</si>
  <si>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</si>
  <si>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</si>
  <si>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</si>
  <si>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</si>
  <si>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</si>
  <si>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</si>
  <si>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</si>
  <si>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</si>
  <si>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</si>
  <si>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</si>
  <si>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</si>
  <si>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</si>
  <si>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</si>
  <si>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</si>
  <si>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</si>
  <si>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</si>
  <si>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</si>
  <si>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</si>
  <si>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</si>
  <si>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</si>
  <si>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</si>
  <si>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</si>
  <si>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</si>
  <si>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</si>
  <si>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</si>
  <si>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</si>
  <si>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</si>
  <si>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</si>
  <si>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</si>
  <si>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</si>
  <si>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</si>
  <si>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</si>
  <si>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</si>
  <si>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</si>
  <si>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</si>
  <si>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</si>
  <si>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</si>
  <si>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</si>
  <si>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</si>
  <si>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</si>
  <si>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</si>
  <si>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</si>
  <si>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</si>
  <si>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</si>
  <si>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</si>
  <si>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</si>
  <si>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</si>
  <si>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</si>
  <si>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</si>
  <si>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</si>
  <si>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</si>
  <si>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</si>
  <si>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</si>
  <si>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</si>
  <si>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</si>
  <si>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</si>
  <si>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</si>
  <si>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</si>
  <si>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</si>
  <si>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</si>
  <si>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</si>
  <si>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</si>
  <si>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</si>
  <si>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</si>
  <si>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</si>
  <si>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</si>
  <si>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</si>
  <si>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</si>
  <si>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</si>
  <si>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</si>
  <si>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</si>
  <si>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</si>
  <si>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</si>
  <si>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</si>
  <si>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</si>
  <si>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</si>
  <si>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</si>
  <si>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</si>
  <si>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</si>
  <si>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</si>
  <si>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</si>
  <si>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</si>
  <si>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</si>
  <si>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</si>
  <si>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</si>
  <si>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</si>
  <si>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</si>
  <si>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</si>
  <si>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</si>
  <si>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</si>
  <si>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</si>
  <si>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</si>
  <si>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</si>
  <si>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</si>
  <si>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</si>
  <si>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</si>
  <si>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</si>
  <si>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</si>
  <si>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</si>
  <si>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</si>
  <si>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</si>
  <si>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</si>
  <si>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</si>
  <si>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</si>
  <si>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</si>
  <si>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</si>
  <si>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</si>
  <si>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</si>
  <si>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</si>
  <si>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</si>
  <si>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</si>
  <si>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</si>
  <si>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</si>
  <si>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</si>
  <si>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</si>
  <si>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</si>
  <si>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</si>
  <si>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</si>
  <si>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</si>
  <si>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</si>
  <si>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</si>
  <si>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</si>
  <si>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</si>
  <si>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</si>
  <si>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</si>
  <si>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</si>
  <si>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</si>
  <si>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</si>
  <si>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</si>
  <si>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</si>
  <si>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</si>
  <si>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</si>
  <si>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</si>
  <si>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</si>
  <si>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</si>
  <si>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</si>
  <si>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</si>
  <si>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</si>
  <si>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</si>
  <si>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</si>
  <si>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</si>
  <si>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</si>
  <si>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</si>
  <si>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</si>
  <si>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</si>
  <si>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</si>
  <si>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</si>
  <si>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</si>
  <si>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</si>
  <si>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</si>
  <si>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</si>
  <si>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</si>
  <si>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</si>
  <si>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</si>
  <si>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</si>
  <si>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</si>
  <si>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</si>
  <si>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</si>
  <si>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</si>
  <si>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</si>
  <si>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</si>
  <si>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</si>
  <si>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</si>
  <si>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</si>
  <si>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</si>
  <si>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</si>
  <si>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</si>
  <si>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</si>
  <si>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</si>
  <si>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</si>
  <si>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</si>
  <si>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</si>
  <si>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</si>
  <si>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</si>
  <si>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</si>
  <si>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</si>
  <si>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</si>
  <si>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</si>
  <si>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</si>
  <si>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</si>
  <si>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</si>
  <si>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</si>
  <si>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</si>
  <si>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</si>
  <si>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</si>
  <si>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</si>
  <si>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</si>
  <si>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</si>
  <si>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</si>
  <si>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</si>
  <si>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</si>
  <si>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</si>
  <si>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</si>
  <si>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</si>
  <si>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</si>
  <si>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</si>
  <si>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</si>
  <si>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</si>
  <si>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</si>
  <si>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</si>
  <si>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</si>
  <si>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</si>
  <si>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</si>
  <si>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</si>
  <si>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</si>
  <si>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</si>
  <si>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</si>
  <si>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</si>
  <si>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</si>
  <si>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</si>
  <si>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</si>
  <si>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</si>
  <si>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</si>
  <si>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</si>
  <si>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</si>
  <si>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</si>
  <si>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</si>
  <si>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</si>
  <si>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</si>
  <si>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</si>
  <si>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</si>
  <si>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</si>
  <si>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</si>
  <si>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</si>
  <si>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</si>
  <si>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</si>
  <si>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</si>
  <si>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</si>
  <si>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</si>
  <si>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</si>
  <si>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</si>
  <si>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</si>
  <si>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</si>
  <si>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</si>
  <si>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</si>
  <si>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</si>
  <si>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</si>
  <si>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</si>
  <si>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</si>
  <si>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</si>
  <si>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</si>
  <si>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</si>
  <si>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</si>
  <si>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</si>
  <si>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</si>
  <si>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</si>
  <si>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</si>
  <si>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</si>
  <si>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</si>
  <si>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</si>
  <si>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</si>
  <si>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</si>
  <si>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</si>
  <si>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</si>
  <si>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</si>
  <si>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</si>
  <si>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</si>
  <si>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</si>
  <si>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</si>
  <si>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</si>
  <si>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</si>
  <si>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</si>
  <si>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</si>
  <si>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</si>
  <si>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</si>
  <si>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</si>
  <si>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</si>
  <si>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</si>
  <si>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</si>
  <si>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</si>
  <si>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</si>
  <si>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</si>
  <si>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</si>
  <si>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</si>
  <si>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</si>
  <si>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</si>
  <si>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</si>
  <si>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</si>
  <si>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</si>
  <si>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</si>
  <si>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</si>
  <si>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</si>
  <si>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</si>
  <si>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</si>
  <si>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</si>
  <si>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</si>
  <si>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</si>
  <si>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</si>
  <si>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</si>
  <si>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</si>
  <si>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</si>
  <si>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</si>
  <si>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</si>
  <si>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</si>
  <si>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</si>
  <si>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</si>
  <si>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</si>
  <si>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</si>
  <si>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</si>
  <si>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</si>
  <si>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</si>
  <si>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</si>
  <si>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</si>
  <si>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</si>
  <si>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</si>
  <si>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</si>
  <si>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</si>
  <si>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</si>
  <si>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</si>
  <si>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</si>
  <si>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</si>
  <si>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</si>
  <si>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</si>
  <si>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</si>
  <si>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</si>
  <si>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</si>
  <si>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</si>
  <si>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</si>
  <si>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</si>
  <si>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</si>
  <si>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</si>
  <si>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</si>
  <si>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</si>
  <si>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</si>
  <si>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</si>
  <si>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</si>
  <si>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</si>
  <si>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</si>
  <si>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</si>
  <si>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</si>
  <si>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</si>
  <si>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</si>
  <si>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</si>
  <si>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</si>
  <si>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</si>
  <si>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</si>
  <si>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</si>
  <si>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</si>
  <si>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</si>
  <si>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</si>
  <si>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</si>
  <si>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</si>
  <si>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</si>
  <si>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</si>
  <si>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</si>
  <si>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</si>
  <si>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</si>
  <si>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</si>
  <si>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</si>
  <si>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</si>
  <si>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</si>
  <si>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</si>
  <si>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</si>
  <si>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</si>
  <si>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</si>
  <si>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</si>
  <si>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</si>
  <si>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</si>
  <si>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</si>
  <si>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</si>
  <si>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</si>
  <si>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</si>
  <si>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</si>
  <si>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</si>
  <si>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</si>
  <si>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</si>
  <si>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</si>
  <si>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</si>
  <si>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</si>
  <si>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</si>
  <si>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</si>
  <si>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</si>
  <si>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</si>
  <si>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</si>
  <si>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</si>
  <si>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</si>
  <si>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</si>
  <si>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</si>
  <si>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</si>
  <si>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</si>
  <si>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</si>
  <si>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</si>
  <si>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</si>
  <si>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</si>
  <si>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</si>
  <si>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</si>
  <si>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</si>
  <si>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</si>
  <si>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</si>
  <si>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</si>
  <si>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</si>
  <si>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</si>
  <si>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</si>
  <si>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</si>
  <si>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</si>
  <si>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</si>
  <si>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</si>
  <si>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</si>
  <si>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</si>
  <si>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</si>
  <si>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</si>
  <si>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</si>
  <si>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</si>
  <si>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</si>
  <si>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</si>
  <si>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</si>
  <si>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</si>
  <si>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</si>
  <si>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</si>
  <si>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</si>
  <si>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</si>
  <si>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</si>
  <si>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</si>
  <si>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</si>
  <si>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</si>
  <si>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</si>
  <si>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</si>
  <si>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</si>
  <si>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</si>
  <si>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</si>
  <si>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</si>
  <si>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</si>
  <si>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</si>
  <si>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</si>
  <si>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</si>
  <si>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</si>
  <si>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</si>
  <si>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</si>
  <si>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</si>
  <si>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</si>
  <si>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</si>
  <si>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</si>
  <si>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</si>
  <si>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</si>
  <si>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</si>
  <si>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</si>
  <si>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</si>
  <si>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</si>
  <si>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</si>
  <si>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</si>
  <si>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</si>
  <si>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</si>
  <si>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</si>
  <si>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</si>
  <si>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</si>
  <si>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</si>
  <si>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</si>
  <si>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</si>
  <si>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</si>
  <si>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</si>
  <si>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</si>
  <si>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</si>
  <si>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</si>
  <si>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</si>
  <si>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</si>
  <si>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</si>
  <si>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</si>
  <si>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</si>
  <si>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</si>
  <si>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</si>
  <si>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</si>
  <si>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</si>
  <si>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</si>
  <si>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</si>
  <si>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</si>
  <si>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</si>
  <si>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</si>
  <si>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</si>
  <si>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</si>
  <si>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</si>
  <si>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</si>
  <si>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</si>
  <si>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</si>
  <si>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</si>
  <si>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</si>
  <si>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</si>
  <si>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</si>
  <si>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</si>
  <si>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</si>
  <si>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</si>
  <si>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</si>
  <si>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</si>
  <si>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</si>
  <si>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</si>
  <si>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</si>
  <si>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</si>
  <si>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</si>
  <si>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</si>
  <si>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</si>
  <si>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</si>
  <si>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</si>
  <si>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</si>
  <si>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</si>
  <si>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</si>
  <si>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</si>
  <si>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</si>
  <si>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</si>
  <si>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</si>
  <si>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</si>
  <si>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</si>
  <si>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</si>
  <si>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</si>
  <si>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</si>
  <si>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</si>
  <si>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</si>
  <si>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</si>
  <si>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</si>
  <si>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</si>
  <si>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</si>
  <si>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</si>
  <si>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</si>
  <si>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</si>
  <si>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</si>
  <si>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</si>
  <si>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</si>
  <si>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</si>
  <si>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</si>
  <si>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</si>
  <si>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</si>
  <si>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</si>
  <si>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</si>
  <si>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</si>
  <si>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</si>
  <si>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</si>
  <si>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</si>
  <si>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</si>
  <si>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</si>
  <si>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</si>
  <si>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</si>
  <si>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</si>
  <si>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</si>
  <si>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</si>
  <si>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</si>
  <si>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</si>
  <si>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</si>
  <si>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</si>
  <si>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</si>
  <si>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</si>
  <si>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</si>
  <si>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</si>
  <si>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</si>
  <si>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</si>
  <si>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</si>
  <si>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</si>
  <si>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</si>
  <si>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</si>
  <si>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</si>
  <si>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</si>
  <si>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</si>
  <si>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</si>
  <si>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</si>
  <si>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</si>
  <si>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</si>
  <si>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</si>
  <si>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</si>
  <si>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</si>
  <si>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</si>
  <si>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</si>
  <si>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</si>
  <si>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</si>
  <si>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</si>
  <si>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</si>
  <si>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</si>
  <si>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</si>
  <si>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</si>
  <si>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</si>
  <si>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</si>
  <si>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</si>
  <si>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</si>
  <si>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</si>
  <si>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</si>
  <si>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</si>
  <si>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</si>
  <si>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</si>
  <si>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</si>
  <si>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</si>
  <si>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</si>
  <si>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</si>
  <si>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</si>
  <si>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</si>
  <si>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</si>
  <si>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</si>
  <si>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</si>
  <si>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</si>
  <si>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</si>
  <si>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</si>
  <si>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</si>
  <si>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</si>
  <si>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</si>
  <si>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</si>
  <si>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</si>
  <si>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</si>
  <si>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</si>
  <si>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</si>
  <si>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</si>
  <si>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</si>
  <si>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</si>
  <si>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</si>
  <si>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</si>
  <si>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</si>
  <si>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</si>
  <si>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</si>
  <si>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</si>
  <si>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</si>
  <si>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</si>
  <si>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</si>
  <si>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</si>
  <si>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</si>
  <si>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</si>
  <si>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</si>
  <si>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</si>
  <si>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</si>
  <si>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</si>
  <si>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</si>
  <si>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</si>
  <si>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</si>
  <si>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</si>
  <si>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</si>
  <si>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</si>
  <si>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</si>
  <si>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</si>
  <si>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</si>
  <si>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</si>
  <si>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</si>
  <si>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</si>
  <si>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</si>
  <si>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</si>
  <si>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</si>
  <si>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</si>
  <si>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</si>
  <si>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</si>
  <si>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</si>
  <si>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</si>
  <si>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</si>
  <si>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</si>
  <si>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</si>
  <si>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</si>
  <si>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</si>
  <si>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</si>
  <si>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</si>
  <si>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</si>
  <si>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</si>
  <si>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</si>
  <si>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</si>
  <si>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</si>
  <si>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</si>
  <si>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</si>
  <si>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</si>
  <si>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</si>
  <si>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</si>
  <si>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</si>
  <si>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</si>
  <si>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</si>
  <si>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</si>
  <si>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</si>
  <si>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</si>
  <si>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</si>
  <si>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</si>
  <si>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</si>
  <si>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</si>
  <si>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</si>
  <si>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</si>
  <si>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</si>
  <si>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</si>
  <si>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</si>
  <si>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</si>
  <si>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</si>
  <si>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</si>
  <si>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</si>
  <si>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</si>
  <si>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</si>
  <si>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</si>
  <si>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</si>
  <si>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</si>
  <si>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</si>
  <si>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</si>
  <si>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</si>
  <si>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</si>
  <si>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</si>
  <si>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</si>
  <si>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</si>
  <si>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</si>
  <si>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</si>
  <si>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</si>
  <si>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</si>
  <si>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</si>
  <si>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</si>
  <si>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</si>
  <si>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</si>
  <si>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</si>
  <si>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</si>
  <si>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</si>
  <si>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</si>
  <si>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</si>
  <si>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</si>
  <si>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</si>
  <si>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</si>
  <si>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</si>
  <si>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</si>
  <si>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</si>
  <si>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</si>
  <si>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</si>
  <si>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</si>
  <si>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</si>
  <si>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</si>
  <si>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</si>
  <si>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</si>
  <si>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</si>
  <si>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</si>
  <si>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</si>
  <si>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</si>
  <si>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</si>
  <si>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</si>
  <si>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</si>
  <si>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</si>
  <si>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</si>
  <si>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</si>
  <si>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</si>
  <si>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</si>
  <si>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</si>
  <si>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</si>
  <si>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</si>
  <si>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</si>
  <si>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</si>
  <si>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</si>
  <si>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</si>
  <si>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</si>
  <si>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</si>
  <si>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</si>
  <si>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</si>
  <si>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</si>
  <si>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</si>
  <si>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</si>
  <si>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</si>
  <si>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</si>
  <si>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</si>
  <si>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</si>
  <si>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</si>
  <si>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</si>
  <si>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</si>
  <si>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</si>
  <si>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</si>
  <si>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</si>
  <si>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</si>
  <si>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</si>
  <si>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</si>
  <si>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</si>
  <si>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</si>
  <si>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</si>
  <si>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</si>
  <si>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</si>
  <si>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</si>
  <si>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</si>
  <si>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</si>
  <si>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</si>
  <si>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</si>
  <si>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</si>
  <si>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</si>
  <si>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</si>
  <si>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</si>
  <si>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</si>
  <si>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</si>
  <si>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</si>
  <si>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</si>
  <si>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</si>
  <si>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</si>
  <si>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</si>
  <si>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</si>
  <si>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</si>
  <si>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</si>
  <si>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</si>
  <si>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</si>
  <si>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</si>
  <si>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</si>
  <si>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</si>
  <si>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</si>
  <si>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</si>
  <si>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</si>
  <si>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</si>
  <si>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</si>
  <si>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</si>
  <si>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</si>
  <si>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</si>
  <si>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</si>
  <si>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</si>
  <si>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</si>
  <si>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</si>
  <si>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</si>
  <si>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</si>
  <si>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</si>
  <si>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</si>
  <si>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</si>
  <si>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</si>
  <si>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</si>
  <si>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</si>
  <si>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</si>
  <si>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</si>
  <si>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</si>
  <si>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</si>
  <si>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</si>
  <si>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</si>
  <si>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</si>
  <si>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</si>
  <si>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</si>
  <si>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</si>
  <si>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</si>
  <si>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</si>
  <si>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</si>
  <si>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</si>
  <si>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</si>
  <si>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</si>
  <si>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</si>
  <si>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</si>
  <si>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</si>
  <si>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</si>
  <si>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</si>
  <si>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</si>
  <si>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</si>
  <si>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</si>
  <si>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</si>
  <si>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</si>
  <si>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</si>
  <si>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</si>
  <si>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</si>
  <si>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</si>
  <si>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</si>
  <si>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</si>
  <si>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</si>
  <si>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</si>
  <si>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</si>
  <si>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</si>
  <si>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</si>
  <si>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</si>
  <si>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</si>
  <si>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</si>
  <si>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</si>
  <si>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</si>
  <si>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</si>
  <si>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</si>
  <si>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</si>
  <si>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</si>
  <si>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</si>
  <si>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</si>
  <si>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</si>
  <si>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</si>
  <si>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</si>
  <si>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</si>
  <si>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</si>
  <si>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</si>
  <si>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</si>
  <si>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</si>
  <si>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</si>
  <si>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</si>
  <si>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</si>
  <si>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</si>
  <si>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</si>
  <si>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</si>
  <si>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</si>
  <si>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</si>
  <si>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</si>
  <si>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</si>
  <si>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</si>
  <si>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</si>
  <si>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</si>
  <si>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</si>
  <si>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</si>
  <si>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</si>
  <si>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</si>
  <si>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</si>
  <si>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</si>
  <si>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</si>
  <si>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</si>
  <si>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</si>
  <si>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</si>
  <si>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</si>
  <si>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</si>
  <si>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</si>
  <si>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</si>
  <si>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</si>
  <si>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</si>
  <si>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</si>
  <si>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</si>
  <si>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</si>
  <si>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</si>
  <si>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</si>
  <si>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</si>
  <si>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</si>
  <si>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</si>
  <si>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</si>
  <si>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</si>
  <si>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</si>
  <si>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</si>
  <si>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</si>
  <si>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</si>
  <si>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</si>
  <si>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</si>
  <si>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</si>
  <si>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</si>
  <si>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</si>
  <si>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</si>
  <si>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</si>
  <si>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</si>
  <si>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</si>
  <si>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</si>
  <si>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</si>
  <si>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</si>
  <si>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</si>
  <si>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</si>
  <si>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</si>
  <si>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</si>
  <si>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</si>
  <si>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</si>
  <si>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</si>
  <si>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</si>
  <si>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</si>
  <si>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</si>
  <si>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</si>
  <si>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</si>
  <si>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</si>
  <si>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</si>
  <si>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</si>
  <si>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</si>
  <si>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</si>
  <si>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</si>
  <si>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</si>
  <si>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</si>
  <si>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</si>
  <si>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</si>
  <si>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</si>
  <si>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</si>
  <si>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</si>
  <si>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</si>
  <si>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</si>
  <si>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</si>
  <si>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</si>
  <si>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</si>
  <si>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</si>
  <si>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</si>
  <si>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</si>
  <si>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</si>
  <si>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</si>
  <si>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</si>
  <si>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</si>
  <si>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</si>
  <si>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</si>
  <si>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</si>
  <si>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</si>
  <si>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</si>
  <si>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</si>
  <si>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</si>
  <si>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</si>
  <si>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</si>
  <si>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</si>
  <si>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</si>
  <si>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</si>
  <si>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</si>
  <si>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</si>
  <si>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</si>
  <si>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</si>
  <si>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</si>
  <si>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</si>
  <si>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</si>
  <si>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</si>
  <si>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</si>
  <si>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</si>
  <si>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</si>
  <si>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</si>
  <si>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</si>
  <si>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</si>
  <si>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</si>
  <si>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</si>
  <si>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</si>
  <si>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</si>
  <si>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</si>
  <si>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</si>
  <si>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</si>
  <si>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</si>
  <si>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</si>
  <si>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</si>
  <si>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</si>
  <si>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</si>
  <si>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</si>
  <si>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</si>
  <si>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</si>
  <si>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</si>
  <si>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</si>
  <si>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</si>
  <si>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</si>
  <si>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</si>
  <si>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</si>
  <si>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</si>
  <si>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</si>
  <si>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</si>
  <si>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</si>
  <si>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</si>
  <si>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</si>
  <si>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</si>
  <si>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</si>
  <si>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</si>
  <si>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</si>
  <si>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</si>
  <si>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</si>
  <si>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</si>
  <si>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</si>
  <si>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</si>
  <si>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</si>
  <si>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</si>
  <si>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</si>
  <si>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</si>
  <si>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</si>
  <si>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</si>
  <si>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</si>
  <si>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</si>
  <si>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</si>
  <si>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</si>
  <si>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</si>
  <si>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</si>
  <si>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</si>
  <si>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</si>
  <si>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</si>
  <si>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</si>
  <si>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</si>
  <si>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</si>
  <si>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</si>
  <si>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</si>
  <si>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</si>
  <si>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</si>
  <si>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</si>
  <si>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</si>
  <si>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</si>
  <si>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</si>
  <si>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</si>
  <si>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</si>
  <si>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</si>
  <si>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</si>
  <si>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</si>
  <si>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</si>
  <si>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</si>
  <si>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</si>
  <si>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</si>
  <si>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</si>
  <si>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</si>
  <si>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</si>
  <si>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</si>
  <si>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</si>
  <si>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</si>
  <si>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</si>
  <si>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</si>
  <si>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</si>
  <si>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</si>
  <si>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</si>
  <si>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</si>
  <si>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</si>
  <si>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</si>
  <si>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</si>
  <si>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</si>
  <si>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</si>
  <si>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</si>
  <si>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</si>
  <si>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</si>
  <si>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</si>
  <si>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</si>
  <si>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</si>
  <si>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</si>
  <si>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</si>
  <si>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</si>
  <si>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</si>
  <si>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</si>
  <si>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</si>
  <si>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</si>
  <si>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</si>
  <si>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</si>
  <si>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</si>
  <si>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</si>
  <si>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</si>
  <si>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</si>
  <si>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</si>
  <si>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</si>
  <si>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</si>
  <si>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</si>
  <si>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</si>
  <si>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</si>
  <si>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</si>
  <si>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</si>
  <si>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</si>
  <si>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</si>
  <si>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</si>
  <si>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</si>
  <si>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</si>
  <si>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</si>
  <si>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</si>
  <si>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</si>
  <si>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</si>
  <si>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</si>
  <si>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</si>
  <si>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</si>
  <si>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</si>
  <si>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</si>
  <si>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</si>
  <si>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</si>
  <si>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</si>
  <si>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</si>
  <si>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</si>
  <si>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</si>
  <si>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</si>
  <si>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</si>
  <si>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</si>
  <si>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</si>
  <si>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</si>
  <si>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</si>
  <si>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</si>
  <si>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</si>
  <si>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</si>
  <si>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</si>
  <si>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</si>
  <si>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</si>
  <si>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</si>
  <si>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</si>
  <si>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</si>
  <si>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</si>
  <si>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</si>
  <si>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</si>
  <si>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</si>
  <si>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</si>
  <si>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</si>
  <si>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</si>
  <si>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</si>
  <si>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</si>
  <si>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</si>
  <si>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</si>
  <si>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</si>
  <si>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</si>
  <si>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</si>
  <si>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</si>
  <si>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</si>
  <si>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</si>
  <si>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</si>
  <si>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</si>
  <si>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</si>
  <si>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</si>
  <si>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</si>
  <si>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</si>
  <si>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</si>
  <si>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</si>
  <si>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</si>
  <si>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</si>
  <si>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</si>
  <si>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</si>
  <si>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</si>
  <si>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</si>
  <si>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</si>
  <si>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</si>
  <si>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</si>
  <si>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</si>
  <si>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</si>
  <si>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</si>
  <si>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</si>
  <si>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</si>
  <si>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</si>
  <si>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</si>
  <si>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</si>
  <si>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</si>
  <si>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</si>
  <si>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</si>
  <si>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</si>
  <si>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</si>
  <si>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</si>
  <si>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</si>
  <si>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</si>
  <si>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</si>
  <si>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</si>
  <si>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</si>
  <si>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</si>
  <si>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</si>
  <si>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</si>
  <si>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</si>
  <si>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</si>
  <si>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</si>
  <si>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</si>
  <si>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</si>
  <si>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</si>
  <si>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</si>
  <si>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</si>
  <si>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</si>
  <si>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</si>
  <si>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</si>
  <si>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</si>
  <si>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</si>
  <si>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</si>
  <si>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</si>
  <si>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</si>
  <si>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</si>
  <si>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</si>
  <si>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</si>
  <si>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</si>
  <si>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</si>
  <si>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</si>
  <si>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</si>
  <si>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</si>
  <si>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</si>
  <si>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</si>
  <si>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</si>
  <si>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</si>
  <si>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</si>
  <si>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</si>
  <si>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</si>
  <si>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</si>
  <si>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</si>
  <si>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</si>
  <si>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</si>
  <si>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</si>
  <si>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</si>
  <si>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</si>
  <si>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</si>
  <si>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</si>
  <si>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</si>
  <si>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</si>
  <si>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</si>
  <si>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</si>
  <si>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</si>
  <si>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</si>
  <si>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</si>
  <si>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</si>
  <si>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</si>
  <si>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</si>
  <si>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</si>
  <si>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</si>
  <si>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</si>
  <si>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</si>
  <si>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</si>
  <si>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</si>
  <si>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</si>
  <si>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</si>
  <si>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</si>
  <si>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</si>
  <si>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</si>
  <si>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</si>
  <si>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</si>
  <si>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</si>
  <si>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</si>
  <si>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</si>
  <si>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</si>
  <si>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</si>
  <si>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</si>
  <si>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</si>
  <si>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</si>
  <si>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</si>
  <si>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</si>
  <si>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</si>
  <si>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</si>
  <si>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</si>
  <si>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</si>
  <si>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</si>
  <si>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</si>
  <si>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</si>
  <si>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</si>
  <si>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</si>
  <si>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</si>
  <si>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</si>
  <si>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</si>
  <si>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</si>
  <si>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</si>
  <si>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</si>
  <si>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</si>
  <si>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</si>
  <si>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</si>
  <si>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</si>
  <si>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</si>
  <si>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</si>
  <si>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</si>
  <si>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</si>
  <si>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</si>
  <si>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</si>
  <si>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</si>
  <si>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</si>
  <si>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</si>
  <si>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</si>
  <si>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</si>
  <si>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</si>
  <si>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</si>
  <si>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</si>
  <si>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</si>
  <si>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</si>
  <si>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</si>
  <si>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</si>
  <si>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</si>
  <si>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</si>
  <si>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</si>
  <si>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</si>
  <si>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</si>
  <si>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</si>
  <si>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</si>
  <si>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</si>
  <si>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</si>
  <si>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</si>
  <si>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</si>
  <si>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</si>
  <si>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</si>
  <si>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</si>
  <si>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</si>
  <si>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</si>
  <si>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</si>
  <si>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</si>
  <si>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</si>
  <si>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</si>
  <si>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</si>
  <si>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</si>
  <si>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</si>
  <si>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</si>
  <si>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</si>
  <si>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</si>
  <si>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</si>
  <si>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</si>
  <si>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</si>
  <si>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</si>
  <si>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</si>
  <si>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</si>
  <si>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</si>
  <si>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</si>
  <si>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</si>
  <si>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</si>
  <si>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</si>
  <si>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</si>
  <si>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</si>
  <si>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</si>
  <si>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</si>
  <si>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</si>
  <si>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</si>
  <si>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</si>
  <si>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</si>
  <si>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</si>
  <si>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</si>
  <si>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</si>
  <si>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</si>
  <si>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</si>
  <si>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</si>
  <si>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</si>
  <si>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</si>
  <si>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</si>
  <si>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</si>
  <si>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</si>
  <si>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</si>
  <si>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</si>
  <si>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</si>
  <si>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</si>
  <si>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</si>
  <si>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</si>
  <si>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</si>
  <si>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</si>
  <si>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</si>
  <si>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</si>
  <si>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</si>
  <si>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</si>
  <si>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</si>
  <si>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</si>
  <si>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</si>
  <si>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</si>
  <si>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</si>
  <si>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</si>
  <si>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</si>
  <si>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</si>
  <si>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</si>
  <si>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</si>
  <si>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</si>
  <si>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</si>
  <si>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</si>
  <si>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</si>
  <si>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</si>
  <si>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</si>
  <si>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</si>
  <si>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</si>
  <si>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</si>
  <si>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</si>
  <si>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</si>
  <si>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</si>
  <si>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</si>
  <si>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</si>
  <si>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</si>
  <si>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</si>
  <si>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</si>
  <si>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</si>
  <si>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</si>
  <si>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</si>
  <si>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</si>
  <si>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</si>
  <si>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</si>
  <si>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</si>
  <si>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</si>
  <si>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</si>
  <si>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</si>
  <si>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</si>
  <si>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</si>
  <si>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</si>
  <si>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</si>
  <si>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</si>
  <si>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</si>
  <si>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</si>
  <si>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</si>
  <si>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</si>
  <si>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</si>
  <si>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</si>
  <si>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</si>
  <si>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</si>
  <si>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</si>
  <si>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</si>
  <si>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</si>
  <si>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</si>
  <si>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</si>
  <si>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</si>
  <si>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</si>
  <si>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</si>
  <si>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</si>
  <si>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</si>
  <si>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</si>
  <si>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</si>
  <si>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</si>
  <si>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</si>
  <si>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</si>
  <si>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</si>
  <si>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</si>
  <si>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</si>
  <si>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</si>
  <si>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</si>
  <si>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</si>
  <si>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</si>
  <si>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</si>
  <si>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</si>
  <si>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</si>
  <si>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</si>
  <si>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</si>
  <si>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</si>
  <si>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</si>
  <si>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</si>
  <si>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</si>
  <si>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</si>
  <si>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</si>
  <si>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</si>
  <si>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</si>
  <si>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</si>
  <si>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</si>
  <si>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</si>
  <si>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</si>
  <si>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</si>
  <si>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</si>
  <si>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</si>
  <si>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</si>
  <si>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</si>
  <si>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</si>
  <si>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</si>
  <si>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</si>
  <si>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</si>
  <si>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</si>
  <si>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</si>
  <si>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</si>
  <si>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</si>
  <si>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</si>
  <si>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</si>
  <si>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</si>
  <si>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</si>
  <si>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</si>
  <si>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</si>
  <si>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</si>
  <si>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</si>
  <si>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</si>
  <si>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</si>
  <si>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</si>
  <si>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</si>
  <si>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</si>
  <si>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</si>
  <si>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</si>
  <si>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</si>
  <si>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</si>
  <si>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</si>
  <si>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</si>
  <si>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</si>
  <si>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</si>
  <si>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</si>
  <si>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</si>
  <si>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</si>
  <si>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</si>
  <si>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</si>
  <si>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</si>
  <si>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</si>
  <si>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</si>
  <si>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</si>
  <si>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</si>
  <si>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</si>
  <si>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</si>
  <si>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</si>
  <si>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</si>
  <si>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</si>
  <si>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</si>
  <si>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</si>
  <si>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</si>
  <si>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</si>
  <si>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</si>
  <si>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</si>
  <si>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</si>
  <si>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</si>
  <si>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</si>
  <si>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</si>
  <si>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</si>
  <si>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</si>
  <si>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</si>
  <si>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</si>
  <si>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</si>
  <si>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</si>
  <si>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</si>
  <si>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</si>
  <si>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</si>
  <si>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</si>
  <si>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</si>
  <si>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</si>
  <si>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</si>
  <si>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</si>
  <si>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</si>
  <si>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</si>
  <si>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</si>
  <si>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</si>
  <si>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</si>
  <si>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</si>
  <si>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</si>
  <si>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</si>
  <si>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</si>
  <si>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</si>
  <si>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</si>
  <si>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</si>
  <si>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</si>
  <si>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</si>
  <si>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</si>
  <si>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</si>
  <si>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</si>
  <si>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</si>
  <si>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</si>
  <si>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</si>
  <si>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</si>
  <si>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</si>
  <si>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</si>
  <si>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</si>
  <si>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</si>
  <si>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</si>
  <si>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</si>
  <si>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</si>
  <si>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</si>
  <si>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</si>
  <si>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</si>
  <si>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</si>
  <si>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</si>
  <si>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</si>
  <si>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</si>
  <si>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</si>
  <si>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</si>
  <si>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</si>
  <si>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</si>
  <si>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</si>
  <si>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</si>
  <si>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</si>
  <si>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</si>
  <si>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</si>
  <si>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</si>
  <si>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</si>
  <si>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</si>
  <si>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</si>
  <si>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</si>
  <si>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</si>
  <si>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</si>
  <si>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</si>
  <si>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</si>
  <si>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</si>
  <si>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</si>
  <si>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</si>
  <si>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</si>
  <si>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</si>
  <si>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</si>
  <si>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</si>
  <si>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</si>
  <si>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</si>
  <si>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</si>
  <si>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</si>
  <si>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</si>
  <si>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</si>
  <si>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</si>
  <si>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</si>
  <si>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</si>
  <si>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</si>
  <si>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</si>
  <si>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</si>
  <si>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</si>
  <si>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</si>
  <si>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</si>
  <si>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</si>
  <si>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</si>
  <si>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</si>
  <si>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</si>
  <si>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</si>
  <si>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</si>
  <si>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</si>
  <si>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</si>
  <si>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</si>
  <si>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</si>
  <si>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</si>
  <si>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</si>
  <si>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</si>
  <si>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</si>
  <si>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</si>
  <si>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</si>
  <si>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</si>
  <si>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</si>
  <si>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</si>
  <si>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</si>
  <si>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</si>
  <si>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</si>
  <si>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</si>
  <si>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</si>
  <si>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</si>
  <si>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</si>
  <si>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</si>
  <si>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</si>
  <si>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</si>
  <si>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</si>
  <si>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</si>
  <si>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</si>
  <si>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</si>
  <si>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</si>
  <si>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</si>
  <si>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</si>
  <si>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</si>
  <si>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</si>
  <si>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</si>
  <si>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</si>
  <si>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</si>
  <si>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</si>
  <si>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</si>
  <si>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</si>
  <si>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</si>
  <si>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</si>
  <si>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</si>
  <si>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</si>
  <si>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</si>
  <si>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</si>
  <si>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</si>
  <si>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</si>
  <si>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</si>
  <si>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</si>
  <si>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</si>
  <si>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</si>
  <si>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</si>
  <si>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</si>
  <si>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</si>
  <si>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</si>
  <si>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</si>
  <si>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</si>
  <si>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</si>
  <si>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</si>
  <si>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</si>
  <si>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</si>
  <si>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</si>
  <si>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</si>
  <si>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</si>
  <si>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</si>
  <si>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</si>
  <si>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</si>
  <si>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</si>
  <si>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</si>
  <si>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</si>
  <si>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</si>
  <si>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</si>
  <si>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</si>
  <si>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</si>
  <si>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</si>
  <si>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</si>
  <si>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</si>
  <si>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</si>
  <si>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</si>
  <si>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</si>
  <si>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</si>
  <si>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</si>
  <si>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</si>
  <si>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</si>
  <si>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</si>
  <si>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</si>
  <si>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</si>
  <si>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</si>
  <si>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</si>
  <si>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</si>
  <si>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</si>
  <si>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</si>
  <si>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</si>
  <si>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</si>
  <si>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</si>
  <si>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</si>
  <si>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</si>
  <si>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</si>
  <si>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</si>
  <si>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</si>
  <si>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</si>
  <si>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</si>
  <si>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</si>
  <si>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</si>
  <si>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</si>
  <si>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</si>
  <si>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</si>
  <si>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</si>
  <si>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</si>
  <si>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</si>
  <si>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</si>
  <si>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</si>
  <si>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</si>
  <si>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</si>
  <si>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</si>
  <si>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</si>
  <si>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</si>
  <si>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</si>
  <si>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</si>
  <si>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</si>
  <si>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</si>
  <si>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</si>
  <si>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</si>
  <si>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</si>
  <si>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</si>
  <si>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</si>
  <si>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</si>
  <si>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</si>
  <si>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</si>
  <si>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</si>
  <si>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</si>
  <si>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</si>
  <si>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</si>
  <si>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</si>
  <si>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</si>
  <si>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</si>
  <si>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</si>
  <si>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</si>
  <si>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</si>
  <si>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</si>
  <si>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</si>
  <si>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</si>
  <si>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</si>
  <si>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</si>
  <si>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</si>
  <si>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</si>
  <si>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</si>
  <si>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</si>
  <si>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</si>
  <si>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</si>
  <si>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</si>
  <si>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</si>
  <si>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</si>
  <si>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</si>
  <si>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</si>
  <si>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</si>
  <si>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</si>
  <si>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</si>
  <si>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</si>
  <si>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</si>
  <si>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</si>
  <si>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</si>
  <si>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</si>
  <si>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</si>
  <si>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</si>
  <si>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</si>
  <si>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</si>
  <si>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</si>
  <si>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</si>
  <si>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</si>
  <si>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</si>
  <si>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</si>
  <si>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</si>
  <si>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</si>
  <si>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</si>
  <si>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</si>
  <si>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</si>
  <si>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</si>
  <si>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</si>
  <si>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</si>
  <si>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</si>
  <si>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</si>
  <si>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</si>
  <si>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</si>
  <si>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</si>
  <si>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</si>
  <si>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</si>
  <si>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</si>
  <si>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</si>
  <si>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</si>
  <si>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</si>
  <si>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</si>
  <si>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</si>
  <si>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</si>
  <si>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</si>
  <si>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</si>
  <si>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</si>
  <si>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</si>
  <si>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</si>
  <si>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</si>
  <si>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</si>
  <si>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</si>
  <si>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</si>
  <si>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</si>
  <si>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</si>
  <si>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</si>
  <si>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</si>
  <si>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</si>
  <si>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</si>
  <si>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</si>
  <si>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</si>
  <si>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</si>
  <si>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</si>
  <si>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</si>
  <si>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</si>
  <si>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</si>
  <si>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</si>
  <si>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</si>
  <si>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</si>
  <si>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</si>
  <si>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</si>
  <si>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</si>
  <si>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</si>
  <si>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</si>
  <si>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</si>
  <si>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</si>
  <si>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</si>
  <si>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</si>
  <si>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</si>
  <si>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</si>
  <si>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</si>
  <si>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</si>
  <si>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</si>
  <si>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</si>
  <si>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</si>
  <si>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</si>
  <si>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</si>
  <si>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</si>
  <si>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</si>
  <si>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</si>
  <si>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</si>
  <si>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</si>
  <si>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</si>
  <si>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</si>
  <si>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</si>
  <si>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</si>
  <si>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</si>
  <si>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</si>
  <si>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</si>
  <si>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</si>
  <si>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</si>
  <si>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</si>
  <si>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</si>
  <si>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</si>
  <si>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</si>
  <si>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</si>
  <si>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</si>
  <si>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</si>
  <si>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</si>
  <si>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</si>
  <si>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</si>
  <si>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</si>
  <si>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</si>
  <si>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</si>
  <si>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</si>
  <si>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</si>
  <si>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</si>
  <si>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</si>
  <si>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</si>
  <si>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</si>
  <si>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</si>
  <si>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</si>
  <si>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</si>
  <si>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</si>
  <si>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</si>
  <si>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</si>
  <si>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</si>
  <si>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</si>
  <si>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</si>
  <si>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</si>
  <si>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</si>
  <si>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</si>
  <si>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</si>
  <si>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</si>
  <si>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</si>
  <si>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</si>
  <si>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</si>
  <si>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</si>
  <si>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</si>
  <si>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</si>
  <si>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</si>
  <si>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</si>
  <si>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</si>
  <si>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</si>
  <si>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</si>
  <si>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</si>
  <si>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</si>
  <si>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</si>
  <si>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</si>
  <si>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</si>
  <si>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</si>
  <si>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</si>
  <si>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</si>
  <si>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</si>
  <si>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</si>
  <si>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</si>
  <si>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</si>
  <si>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</si>
  <si>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</si>
  <si>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</si>
  <si>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</si>
  <si>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</si>
  <si>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</si>
  <si>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</si>
  <si>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</si>
  <si>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</si>
  <si>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</si>
  <si>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</si>
  <si>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</si>
  <si>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</si>
  <si>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</si>
  <si>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</si>
  <si>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</si>
  <si>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</si>
  <si>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</si>
  <si>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</si>
  <si>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</si>
  <si>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</si>
  <si>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</si>
  <si>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</si>
  <si>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</si>
  <si>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</si>
  <si>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</si>
  <si>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</si>
  <si>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</si>
  <si>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</si>
  <si>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</si>
  <si>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</si>
  <si>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</si>
  <si>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</si>
  <si>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</si>
  <si>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</si>
  <si>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</si>
  <si>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</si>
  <si>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</si>
  <si>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</si>
  <si>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</si>
  <si>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</si>
  <si>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</si>
  <si>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</si>
  <si>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</si>
  <si>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</si>
  <si>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</si>
  <si>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</si>
  <si>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</si>
  <si>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</si>
  <si>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</si>
  <si>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</si>
  <si>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</si>
  <si>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</si>
  <si>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</si>
  <si>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</si>
  <si>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</si>
  <si>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</si>
  <si>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</si>
  <si>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</si>
  <si>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</si>
  <si>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</si>
  <si>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</si>
  <si>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</si>
  <si>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</si>
  <si>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</si>
  <si>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</si>
  <si>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</si>
  <si>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</si>
  <si>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</si>
  <si>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</si>
  <si>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</si>
  <si>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</si>
  <si>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</si>
  <si>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</si>
  <si>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</si>
  <si>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</si>
  <si>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</si>
  <si>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</si>
  <si>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</si>
  <si>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</si>
  <si>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</si>
  <si>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</si>
  <si>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</si>
  <si>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</si>
  <si>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</si>
  <si>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</si>
  <si>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</si>
  <si>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</si>
  <si>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</si>
  <si>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</si>
  <si>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</si>
  <si>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</si>
  <si>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</si>
  <si>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</si>
  <si>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</si>
  <si>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</si>
  <si>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</si>
  <si>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</si>
  <si>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</si>
  <si>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</si>
  <si>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</si>
  <si>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</si>
  <si>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</si>
  <si>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</si>
  <si>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</si>
  <si>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</si>
  <si>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</si>
  <si>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</si>
  <si>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</si>
  <si>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</si>
  <si>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</si>
  <si>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</si>
  <si>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</si>
  <si>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</si>
  <si>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</si>
  <si>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</si>
  <si>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</si>
  <si>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</si>
  <si>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</si>
  <si>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</si>
  <si>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</si>
  <si>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</si>
  <si>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</si>
  <si>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</si>
  <si>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</si>
  <si>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</si>
  <si>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</si>
  <si>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</si>
  <si>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</si>
  <si>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</si>
  <si>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</si>
  <si>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</si>
  <si>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</si>
  <si>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</si>
  <si>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</si>
  <si>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</si>
  <si>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</si>
  <si>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</si>
  <si>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</si>
  <si>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</si>
  <si>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</si>
  <si>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</si>
  <si>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</si>
  <si>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</si>
  <si>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</si>
  <si>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</si>
  <si>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</si>
  <si>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</si>
  <si>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</si>
  <si>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</si>
  <si>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</si>
  <si>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</si>
  <si>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</si>
  <si>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</si>
  <si>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</si>
  <si>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</si>
  <si>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</si>
  <si>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</si>
  <si>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</si>
  <si>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</si>
  <si>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</si>
  <si>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</si>
  <si>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</si>
  <si>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</si>
  <si>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</si>
  <si>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</si>
  <si>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</si>
  <si>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</si>
  <si>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</si>
  <si>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</si>
  <si>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</si>
  <si>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</si>
  <si>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</si>
  <si>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</si>
  <si>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</si>
  <si>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</si>
  <si>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</si>
  <si>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</si>
  <si>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</si>
  <si>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</si>
  <si>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</si>
  <si>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</si>
  <si>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</si>
  <si>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</si>
  <si>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</si>
  <si>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</si>
  <si>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</si>
  <si>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</si>
  <si>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</si>
  <si>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</si>
  <si>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</si>
  <si>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</si>
  <si>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</si>
  <si>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</si>
  <si>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</si>
  <si>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</si>
  <si>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</si>
  <si>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</si>
  <si>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</si>
  <si>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</si>
  <si>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</si>
  <si>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</si>
  <si>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</si>
  <si>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</si>
  <si>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</si>
  <si>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</si>
  <si>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</si>
  <si>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</si>
  <si>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</si>
  <si>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</si>
  <si>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</si>
  <si>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</si>
  <si>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</si>
  <si>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</si>
  <si>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</si>
  <si>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</si>
  <si>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</si>
  <si>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</si>
  <si>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</si>
  <si>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</si>
  <si>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</si>
  <si>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</si>
  <si>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</si>
  <si>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</si>
  <si>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</si>
  <si>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</si>
  <si>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</si>
  <si>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</si>
  <si>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</si>
  <si>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</si>
  <si>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</si>
  <si>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</si>
  <si>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</si>
  <si>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</si>
  <si>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</si>
  <si>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</si>
  <si>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</si>
  <si>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</si>
  <si>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</si>
  <si>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</si>
  <si>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</si>
  <si>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</si>
  <si>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</si>
  <si>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</si>
  <si>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</si>
  <si>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</si>
  <si>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</si>
  <si>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</si>
  <si>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</si>
  <si>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</si>
  <si>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</si>
  <si>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</si>
  <si>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</si>
  <si>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</si>
  <si>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</si>
  <si>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</si>
  <si>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</si>
  <si>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</si>
  <si>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</si>
  <si>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</si>
  <si>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</si>
  <si>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</si>
  <si>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</si>
  <si>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</si>
  <si>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</si>
  <si>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</si>
  <si>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</si>
  <si>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</si>
  <si>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</si>
  <si>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</si>
  <si>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</si>
  <si>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</si>
  <si>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</si>
  <si>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</si>
  <si>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</si>
  <si>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</si>
  <si>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</si>
  <si>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</si>
  <si>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</si>
  <si>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</si>
  <si>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</si>
  <si>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</si>
  <si>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</si>
  <si>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</si>
  <si>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</si>
  <si>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</si>
  <si>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</si>
  <si>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</si>
  <si>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</si>
  <si>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</si>
  <si>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</si>
  <si>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</si>
  <si>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</si>
  <si>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</si>
  <si>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</si>
  <si>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</si>
  <si>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</si>
  <si>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</si>
  <si>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</si>
  <si>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</si>
  <si>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</si>
  <si>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</si>
  <si>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</si>
  <si>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</si>
  <si>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</si>
  <si>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</si>
  <si>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</si>
  <si>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</si>
  <si>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</si>
  <si>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</si>
  <si>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</si>
  <si>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</si>
  <si>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</si>
  <si>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</si>
  <si>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</si>
  <si>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</si>
  <si>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</si>
  <si>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</si>
  <si>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</si>
  <si>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</si>
  <si>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</si>
  <si>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</si>
  <si>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</si>
  <si>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</si>
  <si>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</si>
  <si>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</si>
  <si>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</si>
  <si>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</si>
  <si>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</si>
  <si>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</si>
  <si>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</si>
  <si>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</si>
  <si>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</si>
  <si>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</si>
  <si>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</si>
  <si>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</si>
  <si>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</si>
  <si>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</si>
  <si>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</si>
  <si>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</si>
  <si>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</si>
  <si>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</si>
  <si>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</si>
  <si>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</si>
  <si>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</si>
  <si>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</si>
  <si>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</si>
  <si>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</si>
  <si>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</si>
  <si>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</si>
  <si>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</si>
  <si>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</si>
  <si>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</si>
  <si>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</si>
  <si>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</si>
  <si>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</si>
  <si>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</si>
  <si>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</si>
  <si>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</si>
  <si>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</si>
  <si>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</si>
  <si>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</si>
  <si>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</si>
  <si>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</si>
  <si>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</si>
  <si>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</si>
  <si>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</si>
  <si>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</si>
  <si>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</si>
  <si>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</si>
  <si>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</si>
  <si>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</si>
  <si>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</si>
  <si>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</si>
  <si>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</si>
  <si>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</si>
  <si>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</si>
  <si>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</si>
  <si>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</si>
  <si>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</si>
  <si>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</si>
  <si>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</si>
  <si>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</si>
  <si>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</si>
  <si>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</si>
  <si>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</si>
  <si>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</si>
  <si>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</si>
  <si>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</si>
  <si>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</si>
  <si>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</si>
  <si>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</si>
  <si>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</si>
  <si>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</si>
  <si>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</si>
  <si>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</si>
  <si>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</si>
  <si>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</si>
  <si>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</si>
  <si>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</si>
  <si>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</si>
  <si>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</si>
  <si>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</si>
  <si>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</si>
  <si>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</si>
  <si>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</si>
  <si>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</si>
  <si>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</si>
  <si>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</si>
  <si>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</si>
  <si>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</si>
  <si>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</si>
  <si>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</si>
  <si>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</si>
  <si>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</si>
  <si>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</si>
  <si>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</si>
  <si>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</si>
  <si>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</si>
  <si>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</si>
  <si>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</si>
  <si>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</si>
  <si>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</si>
  <si>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</si>
  <si>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</si>
  <si>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</si>
  <si>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</si>
  <si>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</si>
  <si>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</si>
  <si>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</si>
  <si>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</si>
  <si>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</si>
  <si>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</si>
  <si>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</si>
  <si>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</si>
  <si>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</si>
  <si>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</si>
  <si>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</si>
  <si>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</si>
  <si>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</si>
  <si>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</si>
  <si>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</si>
  <si>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</si>
  <si>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</si>
  <si>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</si>
  <si>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</si>
  <si>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</si>
  <si>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</si>
  <si>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</si>
  <si>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</si>
  <si>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</si>
  <si>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</si>
  <si>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</si>
  <si>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</si>
  <si>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</si>
  <si>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</si>
  <si>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</si>
  <si>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</si>
  <si>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</si>
  <si>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</si>
  <si>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</si>
  <si>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</si>
  <si>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</si>
  <si>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</si>
  <si>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</si>
  <si>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</si>
  <si>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</si>
  <si>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</si>
  <si>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</si>
  <si>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</si>
  <si>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</si>
  <si>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</si>
  <si>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</si>
  <si>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</si>
  <si>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</si>
  <si>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</si>
  <si>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</si>
  <si>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</si>
  <si>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</si>
  <si>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</si>
  <si>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</si>
  <si>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</si>
  <si>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</si>
  <si>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</si>
  <si>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</si>
  <si>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</si>
  <si>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</si>
  <si>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</si>
  <si>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</si>
  <si>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</si>
  <si>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</si>
  <si>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</si>
  <si>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</si>
  <si>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</si>
  <si>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</si>
  <si>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</si>
  <si>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</si>
  <si>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</si>
  <si>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</si>
  <si>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</si>
  <si>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</si>
  <si>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</si>
  <si>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</si>
  <si>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</si>
  <si>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</si>
  <si>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</si>
  <si>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</si>
  <si>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</si>
  <si>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</si>
  <si>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</si>
  <si>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</si>
  <si>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</si>
  <si>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</si>
  <si>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</si>
  <si>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</si>
  <si>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</si>
  <si>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</si>
  <si>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</si>
  <si>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</si>
  <si>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</si>
  <si>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</si>
  <si>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</si>
  <si>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</si>
  <si>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</si>
  <si>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</si>
  <si>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</si>
  <si>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</si>
  <si>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</si>
  <si>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</si>
  <si>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</si>
  <si>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</si>
  <si>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</si>
  <si>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</si>
  <si>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</si>
  <si>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</si>
  <si>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</si>
  <si>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</si>
  <si>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</si>
  <si>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</si>
  <si>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</si>
  <si>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</si>
  <si>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</si>
  <si>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</si>
  <si>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</si>
  <si>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</si>
  <si>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</si>
  <si>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</si>
  <si>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</si>
  <si>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</si>
  <si>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</si>
  <si>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</si>
  <si>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</si>
  <si>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</si>
  <si>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</si>
  <si>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</si>
  <si>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</si>
  <si>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</si>
  <si>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</si>
  <si>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</si>
  <si>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</si>
  <si>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</si>
  <si>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</si>
  <si>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</si>
  <si>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</si>
  <si>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</si>
  <si>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</si>
  <si>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</si>
  <si>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</si>
  <si>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</si>
  <si>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</si>
  <si>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</si>
  <si>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</si>
  <si>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</si>
  <si>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</si>
  <si>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</si>
  <si>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</si>
  <si>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</si>
  <si>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</si>
  <si>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</si>
  <si>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</si>
  <si>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</si>
  <si>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</si>
  <si>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</si>
  <si>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</si>
  <si>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</si>
  <si>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</si>
  <si>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</si>
  <si>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</si>
  <si>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</si>
  <si>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</si>
  <si>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</si>
  <si>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</si>
  <si>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</si>
  <si>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</si>
  <si>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</si>
  <si>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</si>
  <si>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</si>
  <si>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</si>
  <si>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</si>
  <si>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</si>
  <si>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</si>
  <si>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</si>
  <si>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</si>
  <si>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</si>
  <si>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</si>
  <si>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</si>
  <si>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</si>
  <si>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</si>
  <si>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</si>
  <si>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</si>
  <si>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</si>
  <si>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</si>
  <si>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</si>
  <si>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</si>
  <si>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</si>
  <si>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</si>
  <si>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</si>
  <si>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</si>
  <si>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</si>
  <si>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</si>
  <si>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</si>
  <si>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</si>
  <si>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</si>
  <si>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</si>
  <si>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</si>
  <si>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</si>
  <si>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</si>
  <si>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</si>
  <si>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</si>
  <si>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</si>
  <si>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</si>
  <si>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</si>
  <si>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</si>
  <si>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</si>
  <si>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</si>
  <si>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</si>
  <si>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</si>
  <si>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</si>
  <si>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</si>
  <si>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</si>
  <si>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</si>
  <si>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</si>
  <si>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</si>
  <si>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</si>
  <si>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</si>
  <si>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</si>
  <si>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</si>
  <si>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</si>
  <si>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</si>
  <si>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</si>
  <si>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</si>
  <si>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</si>
  <si>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</si>
  <si>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</si>
  <si>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</si>
  <si>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</si>
  <si>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</si>
  <si>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</si>
  <si>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</si>
  <si>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</si>
  <si>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</si>
  <si>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</si>
  <si>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</si>
  <si>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</si>
  <si>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</si>
  <si>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</si>
  <si>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</si>
  <si>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</si>
  <si>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</si>
  <si>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</si>
  <si>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</si>
  <si>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</si>
  <si>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</si>
  <si>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</si>
  <si>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</si>
  <si>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</si>
  <si>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</si>
  <si>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</si>
  <si>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</si>
  <si>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</si>
  <si>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</si>
  <si>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</si>
  <si>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</si>
  <si>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</si>
  <si>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</si>
  <si>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</si>
  <si>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</si>
  <si>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</si>
  <si>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</si>
  <si>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</si>
  <si>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</si>
  <si>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</si>
  <si>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</si>
  <si>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</si>
  <si>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</si>
  <si>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</si>
  <si>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</si>
  <si>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</si>
  <si>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</si>
  <si>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</si>
  <si>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</si>
  <si>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</si>
  <si>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</si>
  <si>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</si>
  <si>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</si>
  <si>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</si>
  <si>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</si>
  <si>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</si>
  <si>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</si>
  <si>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</si>
  <si>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</si>
  <si>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</si>
  <si>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</si>
  <si>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</si>
  <si>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</si>
  <si>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</si>
  <si>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</si>
  <si>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</si>
  <si>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</si>
  <si>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</si>
  <si>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</si>
  <si>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</si>
  <si>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</si>
  <si>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</si>
  <si>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</si>
  <si>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</si>
  <si>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</si>
  <si>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</si>
  <si>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</si>
  <si>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</si>
  <si>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</si>
  <si>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</si>
  <si>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</si>
  <si>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</si>
  <si>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</si>
  <si>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</si>
  <si>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</si>
  <si>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</si>
  <si>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</si>
  <si>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</si>
  <si>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</si>
  <si>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</si>
  <si>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</si>
  <si>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</si>
  <si>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</si>
  <si>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</si>
  <si>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</si>
  <si>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</si>
  <si>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</si>
  <si>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</si>
  <si>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</si>
  <si>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</si>
  <si>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</si>
  <si>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</si>
  <si>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</si>
  <si>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</si>
  <si>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</si>
  <si>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</si>
  <si>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</si>
  <si>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</si>
  <si>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</si>
  <si>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</si>
  <si>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</si>
  <si>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</si>
  <si>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</si>
  <si>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</si>
  <si>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</si>
  <si>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</si>
  <si>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</si>
  <si>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</si>
  <si>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</si>
  <si>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</si>
  <si>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</si>
  <si>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</si>
  <si>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</si>
  <si>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</si>
  <si>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</si>
  <si>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</si>
  <si>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</si>
  <si>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</si>
  <si>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</si>
  <si>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</si>
  <si>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</si>
  <si>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</si>
  <si>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</si>
  <si>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</si>
  <si>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</si>
  <si>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</si>
  <si>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</si>
  <si>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</si>
  <si>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</si>
  <si>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</si>
  <si>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</si>
  <si>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</si>
  <si>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</si>
  <si>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</si>
  <si>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</si>
  <si>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</si>
  <si>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</si>
  <si>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</si>
  <si>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</si>
  <si>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</si>
  <si>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</si>
  <si>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</si>
  <si>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</si>
  <si>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</si>
  <si>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</si>
  <si>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</si>
  <si>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</si>
  <si>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</si>
  <si>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</si>
  <si>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</si>
  <si>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</si>
  <si>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</si>
  <si>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</si>
  <si>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</si>
  <si>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</si>
  <si>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</si>
  <si>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</si>
  <si>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</si>
  <si>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</si>
  <si>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</si>
  <si>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</si>
  <si>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</si>
  <si>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</si>
  <si>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</si>
  <si>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</si>
  <si>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</si>
  <si>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</si>
  <si>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</si>
  <si>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</si>
  <si>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</si>
  <si>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</si>
  <si>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</si>
  <si>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</si>
  <si>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</si>
  <si>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</si>
  <si>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</si>
  <si>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</si>
  <si>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</si>
  <si>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</si>
  <si>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</si>
  <si>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</si>
  <si>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</si>
  <si>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</si>
  <si>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</si>
  <si>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</si>
  <si>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</si>
  <si>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</si>
  <si>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</si>
  <si>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</si>
  <si>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</si>
  <si>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</si>
  <si>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</si>
  <si>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</si>
  <si>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</si>
  <si>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</si>
  <si>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</si>
  <si>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</si>
  <si>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</si>
  <si>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</si>
  <si>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</si>
  <si>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</si>
  <si>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</si>
  <si>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</si>
  <si>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</si>
  <si>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</si>
  <si>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</si>
  <si>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</si>
  <si>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</si>
  <si>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</si>
  <si>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</si>
  <si>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</si>
  <si>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</si>
  <si>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</si>
  <si>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</si>
  <si>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</si>
  <si>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</si>
  <si>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</si>
  <si>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</si>
  <si>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</si>
  <si>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</si>
  <si>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</si>
  <si>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</si>
  <si>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</si>
  <si>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</si>
  <si>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</si>
  <si>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</si>
  <si>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</si>
  <si>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</si>
  <si>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</si>
  <si>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</si>
  <si>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</si>
  <si>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</si>
  <si>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</si>
  <si>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</si>
  <si>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</si>
  <si>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</si>
  <si>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</si>
  <si>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</si>
  <si>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</si>
  <si>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</si>
  <si>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</si>
  <si>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</si>
  <si>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</si>
  <si>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</si>
  <si>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</si>
  <si>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</si>
  <si>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</si>
  <si>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</si>
  <si>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</si>
  <si>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</si>
  <si>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</si>
  <si>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</si>
  <si>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</si>
  <si>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</si>
  <si>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</si>
  <si>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</si>
  <si>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</si>
  <si>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</si>
  <si>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</si>
  <si>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</si>
  <si>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</si>
  <si>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</si>
  <si>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</si>
  <si>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</si>
  <si>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</si>
  <si>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</si>
  <si>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</si>
  <si>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</si>
  <si>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</si>
  <si>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</si>
  <si>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</si>
  <si>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</si>
  <si>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</si>
  <si>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</si>
  <si>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</si>
  <si>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</si>
  <si>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</si>
  <si>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</si>
  <si>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</si>
  <si>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</si>
  <si>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</si>
  <si>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</si>
  <si>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</si>
  <si>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</si>
  <si>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</si>
  <si>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</si>
  <si>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</si>
  <si>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</si>
  <si>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</si>
  <si>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</si>
  <si>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</si>
  <si>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</si>
  <si>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</si>
  <si>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</si>
  <si>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</si>
  <si>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</si>
  <si>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</si>
  <si>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</si>
  <si>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</si>
  <si>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</si>
  <si>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</si>
  <si>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</si>
  <si>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</si>
  <si>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</si>
  <si>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</si>
  <si>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</si>
  <si>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</si>
  <si>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</si>
  <si>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</si>
  <si>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</si>
  <si>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</si>
  <si>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</si>
  <si>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</si>
  <si>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</si>
  <si>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</si>
  <si>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</si>
  <si>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</si>
  <si>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</si>
  <si>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</si>
  <si>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</si>
  <si>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</si>
  <si>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</si>
  <si>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</si>
  <si>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</si>
  <si>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</si>
  <si>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</si>
  <si>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</si>
  <si>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</si>
  <si>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</si>
  <si>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</si>
  <si>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</si>
  <si>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</si>
  <si>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</si>
  <si>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</si>
  <si>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</si>
  <si>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</si>
  <si>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</si>
  <si>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</si>
  <si>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</si>
  <si>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</si>
  <si>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</si>
  <si>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</si>
  <si>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</si>
  <si>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</si>
  <si>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</si>
  <si>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</si>
  <si>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</si>
  <si>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</si>
  <si>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</si>
  <si>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</si>
  <si>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</si>
  <si>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</si>
  <si>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</si>
  <si>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</si>
  <si>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</si>
  <si>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</si>
  <si>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</si>
  <si>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</si>
  <si>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</si>
  <si>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</si>
  <si>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</si>
  <si>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</si>
  <si>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</si>
  <si>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</si>
  <si>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</si>
  <si>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</si>
  <si>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</si>
  <si>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</si>
  <si>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</si>
  <si>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</si>
  <si>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</si>
  <si>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</si>
  <si>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</si>
  <si>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</si>
  <si>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</si>
  <si>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</si>
  <si>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</si>
  <si>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</si>
  <si>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</si>
  <si>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</si>
  <si>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</si>
  <si>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</si>
  <si>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</si>
  <si>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</si>
  <si>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</si>
  <si>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</si>
  <si>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</si>
  <si>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</si>
  <si>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</si>
  <si>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</si>
  <si>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</si>
  <si>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</si>
  <si>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</si>
  <si>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</si>
  <si>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</si>
  <si>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</si>
  <si>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</si>
  <si>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</si>
  <si>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</si>
  <si>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</si>
  <si>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</si>
  <si>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</si>
  <si>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</si>
  <si>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</si>
  <si>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</si>
  <si>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</si>
  <si>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</si>
  <si>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</si>
  <si>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</si>
  <si>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</si>
  <si>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</si>
  <si>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</si>
  <si>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</si>
  <si>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</si>
  <si>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</si>
  <si>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</si>
  <si>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</si>
  <si>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</si>
  <si>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</si>
  <si>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</si>
  <si>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</si>
  <si>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</si>
  <si>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</si>
  <si>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</si>
  <si>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</si>
  <si>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</si>
  <si>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</si>
  <si>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</si>
  <si>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</si>
  <si>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</si>
  <si>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</si>
  <si>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</si>
  <si>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</si>
  <si>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</si>
  <si>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</si>
  <si>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</si>
  <si>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</si>
  <si>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</si>
  <si>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</si>
  <si>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</si>
  <si>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</si>
  <si>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</si>
  <si>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</si>
  <si>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</si>
  <si>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</si>
  <si>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</si>
  <si>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</si>
  <si>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</si>
  <si>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</si>
  <si>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</si>
  <si>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</si>
  <si>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</si>
  <si>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</si>
  <si>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</si>
  <si>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</si>
  <si>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</si>
  <si>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</si>
  <si>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</si>
  <si>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</si>
  <si>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</si>
  <si>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</si>
  <si>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</si>
  <si>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</si>
  <si>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</si>
  <si>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</si>
  <si>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</si>
  <si>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</si>
  <si>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</si>
  <si>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</si>
  <si>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</si>
  <si>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</si>
  <si>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</si>
  <si>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</si>
  <si>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</si>
  <si>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</si>
  <si>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</si>
  <si>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</si>
  <si>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</si>
  <si>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</si>
  <si>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</si>
  <si>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</si>
  <si>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</si>
  <si>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</si>
  <si>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</si>
  <si>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</si>
  <si>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</si>
  <si>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</si>
  <si>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</si>
  <si>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</si>
  <si>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</si>
  <si>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</si>
  <si>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</si>
  <si>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</si>
  <si>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</si>
  <si>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</si>
  <si>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</si>
  <si>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</si>
  <si>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</si>
  <si>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</si>
  <si>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</si>
  <si>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</si>
  <si>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</si>
  <si>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</si>
  <si>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</si>
  <si>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</si>
  <si>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</si>
  <si>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</si>
  <si>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</si>
  <si>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</si>
  <si>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</si>
  <si>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</si>
  <si>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</si>
  <si>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</si>
  <si>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</si>
  <si>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</si>
  <si>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</si>
  <si>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</si>
  <si>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</si>
  <si>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</si>
  <si>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</si>
  <si>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</si>
  <si>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</si>
  <si>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</si>
  <si>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</si>
  <si>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</si>
  <si>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</si>
  <si>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</si>
  <si>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</si>
  <si>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</si>
  <si>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</si>
  <si>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</si>
  <si>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</si>
  <si>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</si>
  <si>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</si>
  <si>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</si>
  <si>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</si>
  <si>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</si>
  <si>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</si>
  <si>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</si>
  <si>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</si>
  <si>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</si>
  <si>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</si>
  <si>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</si>
  <si>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</si>
  <si>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</si>
  <si>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</si>
  <si>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</si>
  <si>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</si>
  <si>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</si>
  <si>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</si>
  <si>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</si>
  <si>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</si>
  <si>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</si>
  <si>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</si>
  <si>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</si>
  <si>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</si>
  <si>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</si>
  <si>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</si>
  <si>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</si>
  <si>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</si>
  <si>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</si>
  <si>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</si>
  <si>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</si>
  <si>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</si>
  <si>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</si>
  <si>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</si>
  <si>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</si>
  <si>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</si>
  <si>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</si>
  <si>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</si>
  <si>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</si>
  <si>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</si>
  <si>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</si>
  <si>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</si>
  <si>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</si>
  <si>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</si>
  <si>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</si>
  <si>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</si>
  <si>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</si>
  <si>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</si>
  <si>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</si>
  <si>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</si>
  <si>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</si>
  <si>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</si>
  <si>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</si>
  <si>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</si>
  <si>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</si>
  <si>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</si>
  <si>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</si>
  <si>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</si>
  <si>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</si>
  <si>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</si>
  <si>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</si>
  <si>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</si>
  <si>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</si>
  <si>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</si>
  <si>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</si>
  <si>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</si>
  <si>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</si>
  <si>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</si>
  <si>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</si>
  <si>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</si>
  <si>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</si>
  <si>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</si>
  <si>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</si>
  <si>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</si>
  <si>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</si>
  <si>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</si>
  <si>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</si>
  <si>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</si>
  <si>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</si>
  <si>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</si>
  <si>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</si>
  <si>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</si>
  <si>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</si>
  <si>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</si>
  <si>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</si>
  <si>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</si>
  <si>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</si>
  <si>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</si>
  <si>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</si>
  <si>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</si>
  <si>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</si>
  <si>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</si>
  <si>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</si>
  <si>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</si>
  <si>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</si>
  <si>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</si>
  <si>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</si>
  <si>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</si>
  <si>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</si>
  <si>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</si>
  <si>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</si>
  <si>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</si>
  <si>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</si>
  <si>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</si>
  <si>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</si>
  <si>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</si>
  <si>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</si>
  <si>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</si>
  <si>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</si>
  <si>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</si>
  <si>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</si>
  <si>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</si>
  <si>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</si>
  <si>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</si>
  <si>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</si>
  <si>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</si>
  <si>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</si>
  <si>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</si>
  <si>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</si>
  <si>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</si>
  <si>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</si>
  <si>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</si>
  <si>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</si>
  <si>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</si>
  <si>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</si>
  <si>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</si>
  <si>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</si>
  <si>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</si>
  <si>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</si>
  <si>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</si>
  <si>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</si>
  <si>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</si>
  <si>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</si>
  <si>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</si>
  <si>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</si>
  <si>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</si>
  <si>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</si>
  <si>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</si>
  <si>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</si>
  <si>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</si>
  <si>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</si>
  <si>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</si>
  <si>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</si>
  <si>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</si>
  <si>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</si>
  <si>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</si>
  <si>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</si>
  <si>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</si>
  <si>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</si>
  <si>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</si>
  <si>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</si>
  <si>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</si>
  <si>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</si>
  <si>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</si>
  <si>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</si>
  <si>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</si>
  <si>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</si>
  <si>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</si>
  <si>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</si>
  <si>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</si>
  <si>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</si>
  <si>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</si>
  <si>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</si>
  <si>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</si>
  <si>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</si>
  <si>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</si>
  <si>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</si>
  <si>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</si>
  <si>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</si>
  <si>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</si>
  <si>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</si>
  <si>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</si>
  <si>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</si>
  <si>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</si>
  <si>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</si>
  <si>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</si>
  <si>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</si>
  <si>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</si>
  <si>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</si>
  <si>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</si>
  <si>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</si>
  <si>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</si>
  <si>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</si>
  <si>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</si>
  <si>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</si>
  <si>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</si>
  <si>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</si>
  <si>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</si>
  <si>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</si>
  <si>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</si>
  <si>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</si>
  <si>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</si>
  <si>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</si>
  <si>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</si>
  <si>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</si>
  <si>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</si>
  <si>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</si>
  <si>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</si>
  <si>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</si>
  <si>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</si>
  <si>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</si>
  <si>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</si>
  <si>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</si>
  <si>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</si>
  <si>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</si>
  <si>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</si>
  <si>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</si>
  <si>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</si>
  <si>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</si>
  <si>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</si>
  <si>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</si>
  <si>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</si>
  <si>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</si>
  <si>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</si>
  <si>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</si>
  <si>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</si>
  <si>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</si>
  <si>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</si>
  <si>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</si>
  <si>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</si>
  <si>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</si>
  <si>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</si>
  <si>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</si>
  <si>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</si>
  <si>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</si>
  <si>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</si>
  <si>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</si>
  <si>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</si>
  <si>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</si>
  <si>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</si>
  <si>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</si>
  <si>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</si>
  <si>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</si>
  <si>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</si>
  <si>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</si>
  <si>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</si>
  <si>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</si>
  <si>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</si>
  <si>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</si>
  <si>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</si>
  <si>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</si>
  <si>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</si>
  <si>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</si>
  <si>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</si>
  <si>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</si>
  <si>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</si>
  <si>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</si>
  <si>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</si>
  <si>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</si>
  <si>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</si>
  <si>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</si>
  <si>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</si>
  <si>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</si>
  <si>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</si>
  <si>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</si>
  <si>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</si>
  <si>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</si>
  <si>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</si>
  <si>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</si>
  <si>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</si>
  <si>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</si>
  <si>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</si>
  <si>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</si>
  <si>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</si>
  <si>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</si>
  <si>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</si>
  <si>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</si>
  <si>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</si>
  <si>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</si>
  <si>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</si>
  <si>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</si>
  <si>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</si>
  <si>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</si>
  <si>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</si>
  <si>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</si>
  <si>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</si>
  <si>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</si>
  <si>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</si>
  <si>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</si>
  <si>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</si>
  <si>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</si>
  <si>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</si>
  <si>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</si>
  <si>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</si>
  <si>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</si>
  <si>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</si>
  <si>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</si>
  <si>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</si>
  <si>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</si>
  <si>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</si>
  <si>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</si>
  <si>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</si>
  <si>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</si>
  <si>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</si>
  <si>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</si>
  <si>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</si>
  <si>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</si>
  <si>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</si>
  <si>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</si>
  <si>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</si>
  <si>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</si>
  <si>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</si>
  <si>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</si>
  <si>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</si>
  <si>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</si>
  <si>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</si>
  <si>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</si>
  <si>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</si>
  <si>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</si>
  <si>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</si>
  <si>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</si>
  <si>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</si>
  <si>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</si>
  <si>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</si>
  <si>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</si>
  <si>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</si>
  <si>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</si>
  <si>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</si>
  <si>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</si>
  <si>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</si>
  <si>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</si>
  <si>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</si>
  <si>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</si>
  <si>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</si>
  <si>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</si>
  <si>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</si>
  <si>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</si>
  <si>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</si>
  <si>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</si>
  <si>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</si>
  <si>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</si>
  <si>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</si>
  <si>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</si>
  <si>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</si>
  <si>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</si>
  <si>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</si>
  <si>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</si>
  <si>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</si>
  <si>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</si>
  <si>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</si>
  <si>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</si>
  <si>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</si>
  <si>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</si>
  <si>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</si>
  <si>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</si>
  <si>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</si>
  <si>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</si>
  <si>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</si>
  <si>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</si>
  <si>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</si>
  <si>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</si>
  <si>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</si>
  <si>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</si>
  <si>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</si>
  <si>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</si>
  <si>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</si>
  <si>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</si>
  <si>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</si>
  <si>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</si>
  <si>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</si>
  <si>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</si>
  <si>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</si>
  <si>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</si>
  <si>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</si>
  <si>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</si>
  <si>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</si>
  <si>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</si>
  <si>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</si>
  <si>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</si>
  <si>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</si>
  <si>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</si>
  <si>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</si>
  <si>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</si>
  <si>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</si>
  <si>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</si>
  <si>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</si>
  <si>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</si>
  <si>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</si>
  <si>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</si>
  <si>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</si>
  <si>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</si>
  <si>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</si>
  <si>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</si>
  <si>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</si>
  <si>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</si>
  <si>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</si>
  <si>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</si>
  <si>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</si>
  <si>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</si>
  <si>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</si>
  <si>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</si>
  <si>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</si>
  <si>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</si>
  <si>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</si>
  <si>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</si>
  <si>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</si>
  <si>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</si>
  <si>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</si>
  <si>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</si>
  <si>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</si>
  <si>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</si>
  <si>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</si>
  <si>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</si>
  <si>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</si>
  <si>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</si>
  <si>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</si>
  <si>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</si>
  <si>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</si>
  <si>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</si>
  <si>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</si>
  <si>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</si>
  <si>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</si>
  <si>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</si>
  <si>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</si>
  <si>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</si>
  <si>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</si>
  <si>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</si>
  <si>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</si>
  <si>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</si>
  <si>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</si>
  <si>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</si>
  <si>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</si>
  <si>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</si>
  <si>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</si>
  <si>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</si>
  <si>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</si>
  <si>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</si>
  <si>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</si>
  <si>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</si>
  <si>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</si>
  <si>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</si>
  <si>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</si>
  <si>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</si>
  <si>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</si>
  <si>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</si>
  <si>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</si>
  <si>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</si>
  <si>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</si>
  <si>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</si>
  <si>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</si>
  <si>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</si>
  <si>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</si>
  <si>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</si>
  <si>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</si>
  <si>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</si>
  <si>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</si>
  <si>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</si>
  <si>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</si>
  <si>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</si>
  <si>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</si>
  <si>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</si>
  <si>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</si>
  <si>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</si>
  <si>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</si>
  <si>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</si>
  <si>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</si>
  <si>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</si>
  <si>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</si>
  <si>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</si>
  <si>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</si>
  <si>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</si>
  <si>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</si>
  <si>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</si>
  <si>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</si>
  <si>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</si>
  <si>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</si>
  <si>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</si>
  <si>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</si>
  <si>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</si>
  <si>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</si>
  <si>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</si>
  <si>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</si>
  <si>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</si>
  <si>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</si>
  <si>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</si>
  <si>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</si>
  <si>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</si>
  <si>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</si>
  <si>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</si>
  <si>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</si>
  <si>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</si>
  <si>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</si>
  <si>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</si>
  <si>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</si>
  <si>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</si>
  <si>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</si>
  <si>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</si>
  <si>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</si>
  <si>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</si>
  <si>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</si>
  <si>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</si>
  <si>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</si>
  <si>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</si>
  <si>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</si>
  <si>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</si>
  <si>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</si>
  <si>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</si>
  <si>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</si>
  <si>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</si>
  <si>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</si>
  <si>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</si>
  <si>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</si>
  <si>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</si>
  <si>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</si>
  <si>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</si>
  <si>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</si>
  <si>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</si>
  <si>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</si>
  <si>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</si>
  <si>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</si>
  <si>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</si>
  <si>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</si>
  <si>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</si>
  <si>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</si>
  <si>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</si>
  <si>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</si>
  <si>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</si>
  <si>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</si>
  <si>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</si>
  <si>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</si>
  <si>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</si>
  <si>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</si>
  <si>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</si>
  <si>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</si>
  <si>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</si>
  <si>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</si>
  <si>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</si>
  <si>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</si>
  <si>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</si>
  <si>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</si>
  <si>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</si>
  <si>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</si>
  <si>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</si>
  <si>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</si>
  <si>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</si>
  <si>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</si>
  <si>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</si>
  <si>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</si>
  <si>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</si>
  <si>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</si>
  <si>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</si>
  <si>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</si>
  <si>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</si>
  <si>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</si>
  <si>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</si>
  <si>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</si>
  <si>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</si>
  <si>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</si>
  <si>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</si>
  <si>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</si>
  <si>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</si>
  <si>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</si>
  <si>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</si>
  <si>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</si>
  <si>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</si>
  <si>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</si>
  <si>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</si>
  <si>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</si>
  <si>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</si>
  <si>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</si>
  <si>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</si>
  <si>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</si>
  <si>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</si>
  <si>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</si>
  <si>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</si>
  <si>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</si>
  <si>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</si>
  <si>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</si>
  <si>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</si>
  <si>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</si>
  <si>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</si>
  <si>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</si>
  <si>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</si>
  <si>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</si>
  <si>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</si>
  <si>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</si>
  <si>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</si>
  <si>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</si>
  <si>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</si>
  <si>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</si>
  <si>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</si>
  <si>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</si>
  <si>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</si>
  <si>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</si>
  <si>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</si>
  <si>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</si>
  <si>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</si>
  <si>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</si>
  <si>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</si>
  <si>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</si>
  <si>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</si>
  <si>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</si>
  <si>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</si>
  <si>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</si>
  <si>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</si>
  <si>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</si>
  <si>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</si>
  <si>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</si>
  <si>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</si>
  <si>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</si>
  <si>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</si>
  <si>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</si>
  <si>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</si>
  <si>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</si>
  <si>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</si>
  <si>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</si>
  <si>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</si>
  <si>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</si>
  <si>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</si>
  <si>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</si>
  <si>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</si>
  <si>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</si>
  <si>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</si>
  <si>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</si>
  <si>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</si>
  <si>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</si>
  <si>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</si>
  <si>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</si>
  <si>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</si>
  <si>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</si>
  <si>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</si>
  <si>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</si>
  <si>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</si>
  <si>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</si>
  <si>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</si>
  <si>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</si>
  <si>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</si>
  <si>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</si>
  <si>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</si>
  <si>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</si>
  <si>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</si>
  <si>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</si>
  <si>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</si>
  <si>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</si>
  <si>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</si>
  <si>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</si>
  <si>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</si>
  <si>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</si>
  <si>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</si>
  <si>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</si>
  <si>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</si>
  <si>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</si>
  <si>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</si>
  <si>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</si>
  <si>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</si>
  <si>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</si>
  <si>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</si>
  <si>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</si>
  <si>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</si>
  <si>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</si>
  <si>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</si>
  <si>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</si>
  <si>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</si>
  <si>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</si>
  <si>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</si>
  <si>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</si>
  <si>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</si>
  <si>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</si>
  <si>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</si>
  <si>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</si>
  <si>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</si>
  <si>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</si>
  <si>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</si>
  <si>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</si>
  <si>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</si>
  <si>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</si>
  <si>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</si>
  <si>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</si>
  <si>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</si>
  <si>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</si>
  <si>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</si>
  <si>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</si>
  <si>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</si>
  <si>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</si>
  <si>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</si>
  <si>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</si>
  <si>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</si>
  <si>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</si>
  <si>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</si>
  <si>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</si>
  <si>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</si>
  <si>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</si>
  <si>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</si>
  <si>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</si>
  <si>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</si>
  <si>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</si>
  <si>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</si>
  <si>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</si>
  <si>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</si>
  <si>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</si>
  <si>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</si>
  <si>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</si>
  <si>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</si>
  <si>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</si>
  <si>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</si>
  <si>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</si>
  <si>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</si>
  <si>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</si>
  <si>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</si>
  <si>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</si>
  <si>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</si>
  <si>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</si>
  <si>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</si>
  <si>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</si>
  <si>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</si>
  <si>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</si>
  <si>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</si>
  <si>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</si>
  <si>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</si>
  <si>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</si>
  <si>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</si>
  <si>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</si>
  <si>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</si>
  <si>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</si>
  <si>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</si>
  <si>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</si>
  <si>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</si>
  <si>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</si>
  <si>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</si>
  <si>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</si>
  <si>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</si>
  <si>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</si>
  <si>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</si>
  <si>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</si>
  <si>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</si>
  <si>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</si>
  <si>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</si>
  <si>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</si>
  <si>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</si>
  <si>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</si>
  <si>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</si>
  <si>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</si>
  <si>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</si>
  <si>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</si>
  <si>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</si>
  <si>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</si>
  <si>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</si>
  <si>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</si>
  <si>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</si>
  <si>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</si>
  <si>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</si>
  <si>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</si>
  <si>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</si>
  <si>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</si>
  <si>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</si>
  <si>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</si>
  <si>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</si>
  <si>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</si>
  <si>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</si>
  <si>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</si>
  <si>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</si>
  <si>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</si>
  <si>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</si>
  <si>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</si>
  <si>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</si>
  <si>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</si>
  <si>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</si>
  <si>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</si>
  <si>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</si>
  <si>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</si>
  <si>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</si>
  <si>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</si>
  <si>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</si>
  <si>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</si>
  <si>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</si>
  <si>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</si>
  <si>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</si>
  <si>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</si>
  <si>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</si>
  <si>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</si>
  <si>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</si>
  <si>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</si>
  <si>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</si>
  <si>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</si>
  <si>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</si>
  <si>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</si>
  <si>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</si>
  <si>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</si>
  <si>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</si>
  <si>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</si>
  <si>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</si>
  <si>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</si>
  <si>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</si>
  <si>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</si>
  <si>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</si>
  <si>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</si>
  <si>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</si>
  <si>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</si>
  <si>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</si>
  <si>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</si>
  <si>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</si>
  <si>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</si>
  <si>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</si>
  <si>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</si>
  <si>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</si>
  <si>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</si>
  <si>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</si>
  <si>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</si>
  <si>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</si>
  <si>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</si>
  <si>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</si>
  <si>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</si>
  <si>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</si>
  <si>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</si>
  <si>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</si>
  <si>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</si>
  <si>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</si>
  <si>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</si>
  <si>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</si>
  <si>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</si>
  <si>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</si>
  <si>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</si>
  <si>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</si>
  <si>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</si>
  <si>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</si>
  <si>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</si>
  <si>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</si>
  <si>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</si>
  <si>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</si>
  <si>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</si>
  <si>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</si>
  <si>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</si>
  <si>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</si>
  <si>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</si>
  <si>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</si>
  <si>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</si>
  <si>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</si>
  <si>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</si>
  <si>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</si>
  <si>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</si>
  <si>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</si>
  <si>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</si>
  <si>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</si>
  <si>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</si>
  <si>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</si>
  <si>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</si>
  <si>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</si>
  <si>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</si>
  <si>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</si>
  <si>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</si>
  <si>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</si>
  <si>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</si>
  <si>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</si>
  <si>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</si>
  <si>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</si>
  <si>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</si>
  <si>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</si>
  <si>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</si>
  <si>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</si>
  <si>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</si>
  <si>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</si>
  <si>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</si>
  <si>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</si>
  <si>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</si>
  <si>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</si>
  <si>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</si>
  <si>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</si>
  <si>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</si>
  <si>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</si>
  <si>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</si>
  <si>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</si>
  <si>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</si>
  <si>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</si>
  <si>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</si>
  <si>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</si>
  <si>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</si>
  <si>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</si>
  <si>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</si>
  <si>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</si>
  <si>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</si>
  <si>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</si>
  <si>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</si>
  <si>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</si>
  <si>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</si>
  <si>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</si>
  <si>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</si>
  <si>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</si>
  <si>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</si>
  <si>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</si>
  <si>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</si>
  <si>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</si>
  <si>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</si>
  <si>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</si>
  <si>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</si>
  <si>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</si>
  <si>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</si>
  <si>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</si>
  <si>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</si>
  <si>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</si>
  <si>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</si>
  <si>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</si>
  <si>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</si>
  <si>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</si>
  <si>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</si>
  <si>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</si>
  <si>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</si>
  <si>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</si>
  <si>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</si>
  <si>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</si>
  <si>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</si>
  <si>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</si>
  <si>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</si>
  <si>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</si>
  <si>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</si>
  <si>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</si>
  <si>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</si>
  <si>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</si>
  <si>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</si>
  <si>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</si>
  <si>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</si>
  <si>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</si>
  <si>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</si>
  <si>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</si>
  <si>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</si>
  <si>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</si>
  <si>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</si>
  <si>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</si>
  <si>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</si>
  <si>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</si>
  <si>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</si>
  <si>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</si>
  <si>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</si>
  <si>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</si>
  <si>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</si>
  <si>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</si>
  <si>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</si>
  <si>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</si>
  <si>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</si>
  <si>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</si>
  <si>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</si>
  <si>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</si>
  <si>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</si>
  <si>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</si>
  <si>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</si>
  <si>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</si>
  <si>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</si>
  <si>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</si>
  <si>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</si>
  <si>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</si>
  <si>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</si>
  <si>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</si>
  <si>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</si>
  <si>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</si>
  <si>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</si>
  <si>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</si>
  <si>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</si>
  <si>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</si>
  <si>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</si>
  <si>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</si>
  <si>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</si>
  <si>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</si>
  <si>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</si>
  <si>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</si>
  <si>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</si>
  <si>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</si>
  <si>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</si>
  <si>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</si>
  <si>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</si>
  <si>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</si>
  <si>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</si>
  <si>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</si>
  <si>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</si>
  <si>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</si>
  <si>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</si>
  <si>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</si>
  <si>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</si>
  <si>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</si>
  <si>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</si>
  <si>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</si>
  <si>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</si>
  <si>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</si>
  <si>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</si>
  <si>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</si>
  <si>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</si>
  <si>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</si>
  <si>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</si>
  <si>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</si>
  <si>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</si>
  <si>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</si>
  <si>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</si>
  <si>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</si>
  <si>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</si>
  <si>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</si>
  <si>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</si>
  <si>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</si>
  <si>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</si>
  <si>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</si>
  <si>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</si>
  <si>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</si>
  <si>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</si>
  <si>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</si>
  <si>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</si>
  <si>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</si>
  <si>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</si>
  <si>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</si>
  <si>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</si>
  <si>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</si>
  <si>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</si>
  <si>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</si>
  <si>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</si>
  <si>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</si>
  <si>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</si>
  <si>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</si>
  <si>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</si>
  <si>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</si>
  <si>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</si>
  <si>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</si>
  <si>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</si>
  <si>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</si>
  <si>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</si>
  <si>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</si>
  <si>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</si>
  <si>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</si>
  <si>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</si>
  <si>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</si>
  <si>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</si>
  <si>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</si>
  <si>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</si>
  <si>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</si>
  <si>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</si>
  <si>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</si>
  <si>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</si>
  <si>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</si>
  <si>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</si>
  <si>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</si>
  <si>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</si>
  <si>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</si>
  <si>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</si>
  <si>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</si>
  <si>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</si>
  <si>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</si>
  <si>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</si>
  <si>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</si>
  <si>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</si>
  <si>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</si>
  <si>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</si>
  <si>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</si>
  <si>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</si>
  <si>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</si>
  <si>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</si>
  <si>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</si>
  <si>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</si>
  <si>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</si>
  <si>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</si>
  <si>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</si>
  <si>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</si>
  <si>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</si>
  <si>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</si>
  <si>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</si>
  <si>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</si>
  <si>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</si>
  <si>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</si>
  <si>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</si>
  <si>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</si>
  <si>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</si>
  <si>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</si>
  <si>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</si>
  <si>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</si>
  <si>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</si>
  <si>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</si>
  <si>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</si>
  <si>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</si>
  <si>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</si>
  <si>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</si>
  <si>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</si>
  <si>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</si>
  <si>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</si>
  <si>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</si>
  <si>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</si>
  <si>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</si>
  <si>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</si>
  <si>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</si>
  <si>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</si>
  <si>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</si>
  <si>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</si>
  <si>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</si>
  <si>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</si>
  <si>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</si>
  <si>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</si>
  <si>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</si>
  <si>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</si>
  <si>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</si>
  <si>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</si>
  <si>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</si>
  <si>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</si>
  <si>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</si>
  <si>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</si>
  <si>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</si>
  <si>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</si>
  <si>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</si>
  <si>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</si>
  <si>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</si>
  <si>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</si>
  <si>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</si>
  <si>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</si>
  <si>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</si>
  <si>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</si>
  <si>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</si>
  <si>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</si>
  <si>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</si>
  <si>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</si>
  <si>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</si>
  <si>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</si>
  <si>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</si>
  <si>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</si>
  <si>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</si>
  <si>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</si>
  <si>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</si>
  <si>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</si>
  <si>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</si>
  <si>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</si>
  <si>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</si>
  <si>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</si>
  <si>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</si>
  <si>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</si>
  <si>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</si>
  <si>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</si>
  <si>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</si>
  <si>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</si>
  <si>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</si>
  <si>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</si>
  <si>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</si>
  <si>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</si>
  <si>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</si>
  <si>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</si>
  <si>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</si>
  <si>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</si>
  <si>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</si>
  <si>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</si>
  <si>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</si>
  <si>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</si>
  <si>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</si>
  <si>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</si>
  <si>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</si>
  <si>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</si>
  <si>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</si>
  <si>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</si>
  <si>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</si>
  <si>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</si>
  <si>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</si>
  <si>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</si>
  <si>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</si>
  <si>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</si>
  <si>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</si>
  <si>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</si>
  <si>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</si>
  <si>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</si>
  <si>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</si>
  <si>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</si>
  <si>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</si>
  <si>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</si>
  <si>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</si>
  <si>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</si>
  <si>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</si>
  <si>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</si>
  <si>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</si>
  <si>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</si>
  <si>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</si>
  <si>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</si>
  <si>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</si>
  <si>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</si>
  <si>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</si>
  <si>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</si>
  <si>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</si>
  <si>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</si>
  <si>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</si>
  <si>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</si>
  <si>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</si>
  <si>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</si>
  <si>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</si>
  <si>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</si>
  <si>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</si>
  <si>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</si>
  <si>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</si>
  <si>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</si>
  <si>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</si>
  <si>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</si>
  <si>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</si>
  <si>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</si>
  <si>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</si>
  <si>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</si>
  <si>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</si>
  <si>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</si>
  <si>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</si>
  <si>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</si>
  <si>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</si>
  <si>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</si>
  <si>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</si>
  <si>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</si>
  <si>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</si>
  <si>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</si>
  <si>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</si>
  <si>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</si>
  <si>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</si>
  <si>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</si>
  <si>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</si>
  <si>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</si>
  <si>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</si>
  <si>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</si>
  <si>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</si>
  <si>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</si>
  <si>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</si>
  <si>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</si>
  <si>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</si>
  <si>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</si>
  <si>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</si>
  <si>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</si>
  <si>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</si>
  <si>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</si>
  <si>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</si>
  <si>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</si>
  <si>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</si>
  <si>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</si>
  <si>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</si>
  <si>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</si>
  <si>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</si>
  <si>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</si>
  <si>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</si>
  <si>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</si>
  <si>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</si>
  <si>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</si>
  <si>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</si>
  <si>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</si>
  <si>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</si>
  <si>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</si>
  <si>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</si>
  <si>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</si>
  <si>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</si>
  <si>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</si>
  <si>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</si>
  <si>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</si>
  <si>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</si>
  <si>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</si>
  <si>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</si>
  <si>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</si>
  <si>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</si>
  <si>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</si>
  <si>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</si>
  <si>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</si>
  <si>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</si>
  <si>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</si>
  <si>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</si>
  <si>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</si>
  <si>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</si>
  <si>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</si>
  <si>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</si>
  <si>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</si>
  <si>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</si>
  <si>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</si>
  <si>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</si>
  <si>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</si>
  <si>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</si>
  <si>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</si>
  <si>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</si>
  <si>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</si>
  <si>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</si>
  <si>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</si>
  <si>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</si>
  <si>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</si>
  <si>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</si>
  <si>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</si>
  <si>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</si>
  <si>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</si>
  <si>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</si>
  <si>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</si>
  <si>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</si>
  <si>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</si>
  <si>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</si>
  <si>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</si>
  <si>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</si>
  <si>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</si>
  <si>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</si>
  <si>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</si>
  <si>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</si>
  <si>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</si>
  <si>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</si>
  <si>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</si>
  <si>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</si>
  <si>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</si>
  <si>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</si>
  <si>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</si>
  <si>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</si>
  <si>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</si>
  <si>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</si>
  <si>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</si>
  <si>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</si>
  <si>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</si>
  <si>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</si>
  <si>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</si>
  <si>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</si>
  <si>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</si>
  <si>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</si>
  <si>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</si>
  <si>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</si>
  <si>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</si>
  <si>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</si>
  <si>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</si>
  <si>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</si>
  <si>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</si>
  <si>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</si>
  <si>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</si>
  <si>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</si>
  <si>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</si>
  <si>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</si>
  <si>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</si>
  <si>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</si>
  <si>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</si>
  <si>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</si>
  <si>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</si>
  <si>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</si>
  <si>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</si>
  <si>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</si>
  <si>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</si>
  <si>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</si>
  <si>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</si>
  <si>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</si>
  <si>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</si>
  <si>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</si>
  <si>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</si>
  <si>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</si>
  <si>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</si>
  <si>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</si>
  <si>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</si>
  <si>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</si>
  <si>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</si>
  <si>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</si>
  <si>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</si>
  <si>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</si>
  <si>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</si>
  <si>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</si>
  <si>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</si>
  <si>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</si>
  <si>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</si>
  <si>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</si>
  <si>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</si>
  <si>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</si>
  <si>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</si>
  <si>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</si>
  <si>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</si>
  <si>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</si>
  <si>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</si>
  <si>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</si>
  <si>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</si>
  <si>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</si>
  <si>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</si>
  <si>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</si>
  <si>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</si>
  <si>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</si>
  <si>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</si>
  <si>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</si>
  <si>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</si>
  <si>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</si>
  <si>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</si>
  <si>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</si>
  <si>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</si>
  <si>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</si>
  <si>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</si>
  <si>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</si>
  <si>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</si>
  <si>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</si>
  <si>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</si>
  <si>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</si>
  <si>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</si>
  <si>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</si>
  <si>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</si>
  <si>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</si>
  <si>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</si>
  <si>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</si>
  <si>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</si>
  <si>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</si>
  <si>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</si>
  <si>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</si>
  <si>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</si>
  <si>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</si>
  <si>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</si>
  <si>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</si>
  <si>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</si>
  <si>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</si>
  <si>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</si>
  <si>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</si>
  <si>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</si>
  <si>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</si>
  <si>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</si>
  <si>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</si>
  <si>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</si>
  <si>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</si>
  <si>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</si>
  <si>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</si>
  <si>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</si>
  <si>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</si>
  <si>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</si>
  <si>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</si>
  <si>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</si>
  <si>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</si>
  <si>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</si>
  <si>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</si>
  <si>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</si>
  <si>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</si>
  <si>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</si>
  <si>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</si>
  <si>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</si>
  <si>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</si>
  <si>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</si>
  <si>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</si>
  <si>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</si>
  <si>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</si>
  <si>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</si>
  <si>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</si>
  <si>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</si>
  <si>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</si>
  <si>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</si>
  <si>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</si>
  <si>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</si>
  <si>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</si>
  <si>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</si>
  <si>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</si>
  <si>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</si>
  <si>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</si>
  <si>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</si>
  <si>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</si>
  <si>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</si>
  <si>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</si>
  <si>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</si>
  <si>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</si>
  <si>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</si>
  <si>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</si>
  <si>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</si>
  <si>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</si>
  <si>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</si>
  <si>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</si>
  <si>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</si>
  <si>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</si>
  <si>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</si>
  <si>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</si>
  <si>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</si>
  <si>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</si>
  <si>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</si>
  <si>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</si>
  <si>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</si>
  <si>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</si>
  <si>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</si>
  <si>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</si>
  <si>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</si>
  <si>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</si>
  <si>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</si>
  <si>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</si>
  <si>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</si>
  <si>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</si>
  <si>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</si>
  <si>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</si>
  <si>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</si>
  <si>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</si>
  <si>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</si>
  <si>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</si>
  <si>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</si>
  <si>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</si>
  <si>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</si>
  <si>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</si>
  <si>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</si>
  <si>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</si>
  <si>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</si>
  <si>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</si>
  <si>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</si>
  <si>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</si>
  <si>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</si>
  <si>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</si>
  <si>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</si>
  <si>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</si>
  <si>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</si>
  <si>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</si>
  <si>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</si>
  <si>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</si>
  <si>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</si>
  <si>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</si>
  <si>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</si>
  <si>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</si>
  <si>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</si>
  <si>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</si>
  <si>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</si>
  <si>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</si>
  <si>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</si>
  <si>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</si>
  <si>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</si>
  <si>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</si>
  <si>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</si>
  <si>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</si>
  <si>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</si>
  <si>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</si>
  <si>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</si>
  <si>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</si>
  <si>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</si>
  <si>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</si>
  <si>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</si>
  <si>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</si>
  <si>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</si>
  <si>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</si>
  <si>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</si>
  <si>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</si>
  <si>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</si>
  <si>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</si>
  <si>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</si>
  <si>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</si>
  <si>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</si>
  <si>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</si>
  <si>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</si>
  <si>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</si>
  <si>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</si>
  <si>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</si>
  <si>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</si>
  <si>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</si>
  <si>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</si>
  <si>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</si>
  <si>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</si>
  <si>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</si>
  <si>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</si>
  <si>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</si>
  <si>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</si>
  <si>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</si>
  <si>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</si>
  <si>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</si>
  <si>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</si>
  <si>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</si>
  <si>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</si>
  <si>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</si>
  <si>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</si>
  <si>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</si>
  <si>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</si>
  <si>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</si>
  <si>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</si>
  <si>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</si>
  <si>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</si>
  <si>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</si>
  <si>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</si>
  <si>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</si>
  <si>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</si>
  <si>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</si>
  <si>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</si>
  <si>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</si>
  <si>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</si>
  <si>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</si>
  <si>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</si>
  <si>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</si>
  <si>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</si>
  <si>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</si>
  <si>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</si>
  <si>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</si>
  <si>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</si>
  <si>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</si>
  <si>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</si>
  <si>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</si>
  <si>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</si>
  <si>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</si>
  <si>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</si>
  <si>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</si>
  <si>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</si>
  <si>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</si>
  <si>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</si>
  <si>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</si>
  <si>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</si>
  <si>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</si>
  <si>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</si>
  <si>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</si>
  <si>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</si>
  <si>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</si>
  <si>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</si>
  <si>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</si>
  <si>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</si>
  <si>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</si>
  <si>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</si>
  <si>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</si>
  <si>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</si>
  <si>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</si>
  <si>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</si>
  <si>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</si>
  <si>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</si>
  <si>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</si>
  <si>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</si>
  <si>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</si>
  <si>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</si>
  <si>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</si>
  <si>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</si>
  <si>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</si>
  <si>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</si>
  <si>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</si>
  <si>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</si>
  <si>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</si>
  <si>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</si>
  <si>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</si>
  <si>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</si>
  <si>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</si>
  <si>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</si>
  <si>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</si>
  <si>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</si>
  <si>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</si>
  <si>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</si>
  <si>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</si>
  <si>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</si>
  <si>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</si>
  <si>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</si>
  <si>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</si>
  <si>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</si>
  <si>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</si>
  <si>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</si>
  <si>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</si>
  <si>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</si>
  <si>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</si>
  <si>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</si>
  <si>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</si>
  <si>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</si>
  <si>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</si>
  <si>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</si>
  <si>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</si>
  <si>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</si>
  <si>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</si>
  <si>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</si>
  <si>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</si>
  <si>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</si>
  <si>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</si>
  <si>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</si>
  <si>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</si>
  <si>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</si>
  <si>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</si>
  <si>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</si>
  <si>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</si>
  <si>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</si>
  <si>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</si>
  <si>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</si>
  <si>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</si>
  <si>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</si>
  <si>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</si>
  <si>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</si>
  <si>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</si>
  <si>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</si>
  <si>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</si>
  <si>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</si>
  <si>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</si>
  <si>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</si>
  <si>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</si>
  <si>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</si>
  <si>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</si>
  <si>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</si>
  <si>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</si>
  <si>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</si>
  <si>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</si>
  <si>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</si>
  <si>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</si>
  <si>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</si>
  <si>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</si>
  <si>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</si>
  <si>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</si>
  <si>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</si>
  <si>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</si>
  <si>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</si>
  <si>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</si>
  <si>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</si>
  <si>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</si>
  <si>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</si>
  <si>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</si>
  <si>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</si>
  <si>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</si>
  <si>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</si>
  <si>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</si>
  <si>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</si>
  <si>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</si>
  <si>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</si>
  <si>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</si>
  <si>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</si>
  <si>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</si>
  <si>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</si>
  <si>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</si>
  <si>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</si>
  <si>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</si>
  <si>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</si>
  <si>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</si>
  <si>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</si>
  <si>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</si>
  <si>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</si>
  <si>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</si>
  <si>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</si>
  <si>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</si>
  <si>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</si>
  <si>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</si>
  <si>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</si>
  <si>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</si>
  <si>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</si>
  <si>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</si>
  <si>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</si>
  <si>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</si>
  <si>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</si>
  <si>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</si>
  <si>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</si>
  <si>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</si>
  <si>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</si>
  <si>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</si>
  <si>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</si>
  <si>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</si>
  <si>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</si>
  <si>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</si>
  <si>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</si>
  <si>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</si>
  <si>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</si>
  <si>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</si>
  <si>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</si>
  <si>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</si>
  <si>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</si>
  <si>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</si>
  <si>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</si>
  <si>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</si>
  <si>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</si>
  <si>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</si>
  <si>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</si>
  <si>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</si>
  <si>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</si>
  <si>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</si>
  <si>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</si>
  <si>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</si>
  <si>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</si>
  <si>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</si>
  <si>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</si>
  <si>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</si>
  <si>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</si>
  <si>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</si>
  <si>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</si>
  <si>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</si>
  <si>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</si>
  <si>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</si>
  <si>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</si>
  <si>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</si>
  <si>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</si>
  <si>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</si>
  <si>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</si>
  <si>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</si>
  <si>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</si>
  <si>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</si>
  <si>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</si>
  <si>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</si>
  <si>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</si>
  <si>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</si>
  <si>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</si>
  <si>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</si>
  <si>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</si>
  <si>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</si>
  <si>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</si>
  <si>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</si>
  <si>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</si>
  <si>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</si>
  <si>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</si>
  <si>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</si>
  <si>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</si>
  <si>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</si>
  <si>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</si>
  <si>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</si>
  <si>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</si>
  <si>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</si>
  <si>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</si>
  <si>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</si>
  <si>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</si>
  <si>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</si>
  <si>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</si>
  <si>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</si>
  <si>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</si>
  <si>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</si>
  <si>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</si>
  <si>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</si>
  <si>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</si>
  <si>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</si>
  <si>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</si>
  <si>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</si>
  <si>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</si>
  <si>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</si>
  <si>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</si>
  <si>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</si>
  <si>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</si>
  <si>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</si>
  <si>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</si>
  <si>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</si>
  <si>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</si>
  <si>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</si>
  <si>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</si>
  <si>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</si>
  <si>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</si>
  <si>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</si>
  <si>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</si>
  <si>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</si>
  <si>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</si>
  <si>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</si>
  <si>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</si>
  <si>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</si>
  <si>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</si>
  <si>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</si>
  <si>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</si>
  <si>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</si>
  <si>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</si>
  <si>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</si>
  <si>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</si>
  <si>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</si>
  <si>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</si>
  <si>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</si>
  <si>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</si>
  <si>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</si>
  <si>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</si>
  <si>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</si>
  <si>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</si>
  <si>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</si>
  <si>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</si>
  <si>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</si>
  <si>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</si>
  <si>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</si>
  <si>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</si>
  <si>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</si>
  <si>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</si>
  <si>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</si>
  <si>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</si>
  <si>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</si>
  <si>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</si>
  <si>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</si>
  <si>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</si>
  <si>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</si>
  <si>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</si>
  <si>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</si>
  <si>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</si>
  <si>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</si>
  <si>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</si>
  <si>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</si>
  <si>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</si>
  <si>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</si>
  <si>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</si>
  <si>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</si>
  <si>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</si>
  <si>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</si>
  <si>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</si>
  <si>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</si>
  <si>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</si>
  <si>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</si>
  <si>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</si>
  <si>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</si>
  <si>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</si>
  <si>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</si>
  <si>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</si>
  <si>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</si>
  <si>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</si>
  <si>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</si>
  <si>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</si>
  <si>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</si>
  <si>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</si>
  <si>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</si>
  <si>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</si>
  <si>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</si>
  <si>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</si>
  <si>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</si>
  <si>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</si>
  <si>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</si>
  <si>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</si>
  <si>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</si>
  <si>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</si>
  <si>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</si>
  <si>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</si>
  <si>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</si>
  <si>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</si>
  <si>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</si>
  <si>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</si>
  <si>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</si>
  <si>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</si>
  <si>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</si>
  <si>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</si>
  <si>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</si>
  <si>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</si>
  <si>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</si>
  <si>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</si>
  <si>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</si>
  <si>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</si>
  <si>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</si>
  <si>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</si>
  <si>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</si>
  <si>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</si>
  <si>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</si>
  <si>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</si>
  <si>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</si>
  <si>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</si>
  <si>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</si>
  <si>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</si>
  <si>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</si>
  <si>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</si>
  <si>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</si>
  <si>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</si>
  <si>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</si>
  <si>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</si>
  <si>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</si>
  <si>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</si>
  <si>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</si>
  <si>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</si>
  <si>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</si>
  <si>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</si>
  <si>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</si>
  <si>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</si>
  <si>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</si>
  <si>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</si>
  <si>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</si>
  <si>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</si>
  <si>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</si>
  <si>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</si>
  <si>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</si>
  <si>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</si>
  <si>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</si>
  <si>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</si>
  <si>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</si>
  <si>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</si>
  <si>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</si>
  <si>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</si>
  <si>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</si>
  <si>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</si>
  <si>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</si>
  <si>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</si>
  <si>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</si>
  <si>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</si>
  <si>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</si>
  <si>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</si>
  <si>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</si>
  <si>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</si>
  <si>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</si>
  <si>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</si>
  <si>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</si>
  <si>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</si>
  <si>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</si>
  <si>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</si>
  <si>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</si>
  <si>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</si>
  <si>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</si>
  <si>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</si>
  <si>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</si>
  <si>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</si>
  <si>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</si>
  <si>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</si>
  <si>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</si>
  <si>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</si>
  <si>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</si>
  <si>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</si>
  <si>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</si>
  <si>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</si>
  <si>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</si>
  <si>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</si>
  <si>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</si>
  <si>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</si>
  <si>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</si>
  <si>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</si>
  <si>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</si>
  <si>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</si>
  <si>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</si>
  <si>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</si>
  <si>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</si>
  <si>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</si>
  <si>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</si>
  <si>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</si>
  <si>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</si>
  <si>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</si>
  <si>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</si>
  <si>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</si>
  <si>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</si>
  <si>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</si>
  <si>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</si>
  <si>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</si>
  <si>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</si>
  <si>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</si>
  <si>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</si>
  <si>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</si>
  <si>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</si>
  <si>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</si>
  <si>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</si>
  <si>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</si>
  <si>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</si>
  <si>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</si>
  <si>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</si>
  <si>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</si>
  <si>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</si>
  <si>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</si>
  <si>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</si>
  <si>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</si>
  <si>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</si>
  <si>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</si>
  <si>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</si>
  <si>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</si>
  <si>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</si>
  <si>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</si>
  <si>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</si>
  <si>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</si>
  <si>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</si>
  <si>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</si>
  <si>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</si>
  <si>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</si>
  <si>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</si>
  <si>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</si>
  <si>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</si>
  <si>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</si>
  <si>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</si>
  <si>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</si>
  <si>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</si>
  <si>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</si>
  <si>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</si>
  <si>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</si>
  <si>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</si>
  <si>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</si>
  <si>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</si>
  <si>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</si>
  <si>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</si>
  <si>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</si>
  <si>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</si>
  <si>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</si>
  <si>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</si>
  <si>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</si>
  <si>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</si>
  <si>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</si>
  <si>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</si>
  <si>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</si>
  <si>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</si>
  <si>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</si>
  <si>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</si>
  <si>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</si>
  <si>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</si>
  <si>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</si>
  <si>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</si>
  <si>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</si>
  <si>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</si>
  <si>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</si>
  <si>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</si>
  <si>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</si>
  <si>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</si>
  <si>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</si>
  <si>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</si>
  <si>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</si>
  <si>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</si>
  <si>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</si>
  <si>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</si>
  <si>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</si>
  <si>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</si>
  <si>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</si>
  <si>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</si>
  <si>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</si>
  <si>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</si>
  <si>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</si>
  <si>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</si>
  <si>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</si>
  <si>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</si>
  <si>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</si>
  <si>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</si>
  <si>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</si>
  <si>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</si>
  <si>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</si>
  <si>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</si>
  <si>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</si>
  <si>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</si>
  <si>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</si>
  <si>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</si>
  <si>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</si>
  <si>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</si>
  <si>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</si>
  <si>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</si>
  <si>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</si>
  <si>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</si>
  <si>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</si>
  <si>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</si>
  <si>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</si>
  <si>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</si>
  <si>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</si>
  <si>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</si>
  <si>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</si>
  <si>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</si>
  <si>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</si>
  <si>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</si>
  <si>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</si>
  <si>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</si>
  <si>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</si>
  <si>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</si>
  <si>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</si>
  <si>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</si>
  <si>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</si>
  <si>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</si>
  <si>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</si>
  <si>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</si>
  <si>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</si>
  <si>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</si>
  <si>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</si>
  <si>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</si>
  <si>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</si>
  <si>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</si>
  <si>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</si>
  <si>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</si>
  <si>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</si>
  <si>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</si>
  <si>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</si>
  <si>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</si>
  <si>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</si>
  <si>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</si>
  <si>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</si>
  <si>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</si>
  <si>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</si>
  <si>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</si>
  <si>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</si>
  <si>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</si>
  <si>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</si>
  <si>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</si>
  <si>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</si>
  <si>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</si>
  <si>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</si>
  <si>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</si>
  <si>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</si>
  <si>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</si>
  <si>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</si>
  <si>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</si>
  <si>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</si>
  <si>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</si>
  <si>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</si>
  <si>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</si>
  <si>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</si>
  <si>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</si>
  <si>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</si>
  <si>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</si>
  <si>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</si>
  <si>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</si>
  <si>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</si>
  <si>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</si>
  <si>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</si>
  <si>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</si>
  <si>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</si>
  <si>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</si>
  <si>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</si>
  <si>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</si>
  <si>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</si>
  <si>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</si>
  <si>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</si>
  <si>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</si>
  <si>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</si>
  <si>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</si>
  <si>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</si>
  <si>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</si>
  <si>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</si>
  <si>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</si>
  <si>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</si>
  <si>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</si>
  <si>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</si>
  <si>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</si>
  <si>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</si>
  <si>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</si>
  <si>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</si>
  <si>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</si>
  <si>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</si>
  <si>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</si>
  <si>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</si>
  <si>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</si>
  <si>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</si>
  <si>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</si>
  <si>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</si>
  <si>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</si>
  <si>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</si>
  <si>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</si>
  <si>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</si>
  <si>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</si>
  <si>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</si>
  <si>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</si>
  <si>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</si>
  <si>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</si>
  <si>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</si>
  <si>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</si>
  <si>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</si>
  <si>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</si>
  <si>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</si>
  <si>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</si>
  <si>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</si>
  <si>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</si>
  <si>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</si>
  <si>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</si>
  <si>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</si>
  <si>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</si>
  <si>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</si>
  <si>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</si>
  <si>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</si>
  <si>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</si>
  <si>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</si>
  <si>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</si>
  <si>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</si>
  <si>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</si>
  <si>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</si>
  <si>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</si>
  <si>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</si>
  <si>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</si>
  <si>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</si>
  <si>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</si>
  <si>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</si>
  <si>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</si>
  <si>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</si>
  <si>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</si>
  <si>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</si>
  <si>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</si>
  <si>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</si>
  <si>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</si>
  <si>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</si>
  <si>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</si>
  <si>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</si>
  <si>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</si>
  <si>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</si>
  <si>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</si>
  <si>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</si>
  <si>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</si>
  <si>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</si>
  <si>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</si>
  <si>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</si>
  <si>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</si>
  <si>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</si>
  <si>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</si>
  <si>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</si>
  <si>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</si>
  <si>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</si>
  <si>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</si>
  <si>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</si>
  <si>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</si>
  <si>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</si>
  <si>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</si>
  <si>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</si>
  <si>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</si>
  <si>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</si>
  <si>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</si>
  <si>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</si>
  <si>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</si>
  <si>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</si>
  <si>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</si>
  <si>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</si>
  <si>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</si>
  <si>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</si>
  <si>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</si>
  <si>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</si>
  <si>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</si>
  <si>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</si>
  <si>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</si>
  <si>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</si>
  <si>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</si>
  <si>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</si>
  <si>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</si>
  <si>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</si>
  <si>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</si>
  <si>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</si>
  <si>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</si>
  <si>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</si>
  <si>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</si>
  <si>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</si>
  <si>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</si>
  <si>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</si>
  <si>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</si>
  <si>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</si>
  <si>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</si>
  <si>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</si>
  <si>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</si>
  <si>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</si>
  <si>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</si>
  <si>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</si>
  <si>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</si>
  <si>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</si>
  <si>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</si>
  <si>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</si>
  <si>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</si>
  <si>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</si>
  <si>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</si>
  <si>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</si>
  <si>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</si>
  <si>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</si>
  <si>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</si>
  <si>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</si>
  <si>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</si>
  <si>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</si>
  <si>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</si>
  <si>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</si>
  <si>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</si>
  <si>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</si>
  <si>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</si>
  <si>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</si>
  <si>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</si>
  <si>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</si>
  <si>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</si>
  <si>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</si>
  <si>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</si>
  <si>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</si>
  <si>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</si>
  <si>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</si>
  <si>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</si>
  <si>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</si>
  <si>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</si>
  <si>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</si>
  <si>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</si>
  <si>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</si>
  <si>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</si>
  <si>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</si>
  <si>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</si>
  <si>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</si>
  <si>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</si>
  <si>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</si>
  <si>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</si>
  <si>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</si>
  <si>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</si>
  <si>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</si>
  <si>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</si>
  <si>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</si>
  <si>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</si>
  <si>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</si>
  <si>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</si>
  <si>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</si>
  <si>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</si>
  <si>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</si>
  <si>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</si>
  <si>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</si>
  <si>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</si>
  <si>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</si>
  <si>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</si>
  <si>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</si>
  <si>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</si>
  <si>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</si>
  <si>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</si>
  <si>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</si>
  <si>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</si>
  <si>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</si>
  <si>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</si>
  <si>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</si>
  <si>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</si>
  <si>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</si>
  <si>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</si>
  <si>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</si>
  <si>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</si>
  <si>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</si>
  <si>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</si>
  <si>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</si>
  <si>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</si>
  <si>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</si>
  <si>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</si>
  <si>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</si>
  <si>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</si>
  <si>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</si>
  <si>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</si>
  <si>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</si>
  <si>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</si>
  <si>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</si>
  <si>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</si>
  <si>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</si>
  <si>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</si>
  <si>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</si>
  <si>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</si>
  <si>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</si>
  <si>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</si>
  <si>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</si>
  <si>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</si>
  <si>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</si>
  <si>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</si>
  <si>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</si>
  <si>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</si>
  <si>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</si>
  <si>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</si>
  <si>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</si>
  <si>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</si>
  <si>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</si>
  <si>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</si>
  <si>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</si>
  <si>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</si>
  <si>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</si>
  <si>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</si>
  <si>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</si>
  <si>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</si>
  <si>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</si>
  <si>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</si>
  <si>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</si>
  <si>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</si>
  <si>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</si>
  <si>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</si>
  <si>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</si>
  <si>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</si>
  <si>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</si>
  <si>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</si>
  <si>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</si>
  <si>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</si>
  <si>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</si>
  <si>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</si>
  <si>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</si>
  <si>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</si>
  <si>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</si>
  <si>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</si>
  <si>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</si>
  <si>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</si>
  <si>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</si>
  <si>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</si>
  <si>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</si>
  <si>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</si>
  <si>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</si>
  <si>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</si>
  <si>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</si>
  <si>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</si>
  <si>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</si>
  <si>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</si>
  <si>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</si>
  <si>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</si>
  <si>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</si>
  <si>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</si>
  <si>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</si>
  <si>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</si>
  <si>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</si>
  <si>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</si>
  <si>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</si>
  <si>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</si>
  <si>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</si>
  <si>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</si>
  <si>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</si>
  <si>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</si>
  <si>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</si>
  <si>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</si>
  <si>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</si>
  <si>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</si>
  <si>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</si>
  <si>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</si>
  <si>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</si>
  <si>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</si>
  <si>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</si>
  <si>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</si>
  <si>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</si>
  <si>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</si>
  <si>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</si>
  <si>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</si>
  <si>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</si>
  <si>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</si>
  <si>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</si>
  <si>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</si>
  <si>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</si>
  <si>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</si>
  <si>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</si>
  <si>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</si>
  <si>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</si>
  <si>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</si>
  <si>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</si>
  <si>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</si>
  <si>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</si>
  <si>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</si>
  <si>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</si>
  <si>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</si>
  <si>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</si>
  <si>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</si>
  <si>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</si>
  <si>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</si>
  <si>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</si>
  <si>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</si>
  <si>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</si>
  <si>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</si>
  <si>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</si>
  <si>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</si>
  <si>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</si>
  <si>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</si>
  <si>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</si>
  <si>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</si>
  <si>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</si>
  <si>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</si>
  <si>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</si>
  <si>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</si>
  <si>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</si>
  <si>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</si>
  <si>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</si>
  <si>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</si>
  <si>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</si>
  <si>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</si>
  <si>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</si>
  <si>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</si>
  <si>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</si>
  <si>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</si>
  <si>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</si>
  <si>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</si>
  <si>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</si>
  <si>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</si>
  <si>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</si>
  <si>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</si>
  <si>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</si>
  <si>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</si>
  <si>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</si>
  <si>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</si>
  <si>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</si>
  <si>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</si>
  <si>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</si>
  <si>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</si>
  <si>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</si>
  <si>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</si>
  <si>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</si>
  <si>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</si>
  <si>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</si>
  <si>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</si>
  <si>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</si>
  <si>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</si>
  <si>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</si>
  <si>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</si>
  <si>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</si>
  <si>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</si>
  <si>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</si>
  <si>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</si>
  <si>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</si>
  <si>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</si>
  <si>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</si>
  <si>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</si>
  <si>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</si>
  <si>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</si>
  <si>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</si>
  <si>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</si>
  <si>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</si>
  <si>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</si>
  <si>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</si>
  <si>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</si>
  <si>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</si>
  <si>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</si>
  <si>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</si>
  <si>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</si>
  <si>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</si>
  <si>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</si>
  <si>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</si>
  <si>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</si>
  <si>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</si>
  <si>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</si>
  <si>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</si>
  <si>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</si>
  <si>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</si>
  <si>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</si>
  <si>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</si>
  <si>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</si>
  <si>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</si>
  <si>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</si>
  <si>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</si>
  <si>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</si>
  <si>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</si>
  <si>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</si>
  <si>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</si>
  <si>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</si>
  <si>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</si>
  <si>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</si>
  <si>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</si>
  <si>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</si>
  <si>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</si>
  <si>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</si>
  <si>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</si>
  <si>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</si>
  <si>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</si>
  <si>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</si>
  <si>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</si>
  <si>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</si>
  <si>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</si>
  <si>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</si>
  <si>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</si>
  <si>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</si>
  <si>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</si>
  <si>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</si>
  <si>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</si>
  <si>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</si>
  <si>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</si>
  <si>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</si>
  <si>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</si>
  <si>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</si>
  <si>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</si>
  <si>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</si>
  <si>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</si>
  <si>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</si>
  <si>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</si>
  <si>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</si>
  <si>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</si>
  <si>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</si>
  <si>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</si>
  <si>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</si>
  <si>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</si>
  <si>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</si>
  <si>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</si>
  <si>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</si>
  <si>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</si>
  <si>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</si>
  <si>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</si>
  <si>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</si>
  <si>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</si>
  <si>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</si>
  <si>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</si>
  <si>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</si>
  <si>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</si>
  <si>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</si>
  <si>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</si>
  <si>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</si>
  <si>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</si>
  <si>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</si>
  <si>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</si>
  <si>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</si>
  <si>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</si>
  <si>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</si>
  <si>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</si>
  <si>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</si>
  <si>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</si>
  <si>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</si>
  <si>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</si>
  <si>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</si>
  <si>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</si>
  <si>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</si>
  <si>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</si>
  <si>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</si>
  <si>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</si>
  <si>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</si>
  <si>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</si>
  <si>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</si>
  <si>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</si>
  <si>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</si>
  <si>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</si>
  <si>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</si>
  <si>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</si>
  <si>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</si>
  <si>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</si>
  <si>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</si>
  <si>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</si>
  <si>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</si>
  <si>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</si>
  <si>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</si>
  <si>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</si>
  <si>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</si>
  <si>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</si>
  <si>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</si>
  <si>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</si>
  <si>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</si>
  <si>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</si>
  <si>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</si>
  <si>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</si>
  <si>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</si>
  <si>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</si>
  <si>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</si>
  <si>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</si>
  <si>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</si>
  <si>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</si>
  <si>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</si>
  <si>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</si>
  <si>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</si>
  <si>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</si>
  <si>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</si>
  <si>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</si>
  <si>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</si>
  <si>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</si>
  <si>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</si>
  <si>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</si>
  <si>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</si>
  <si>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</si>
  <si>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</si>
  <si>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</si>
  <si>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</si>
  <si>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</si>
  <si>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</si>
  <si>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</si>
  <si>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</si>
  <si>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</si>
  <si>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</si>
  <si>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</si>
  <si>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</si>
  <si>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</si>
  <si>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</si>
  <si>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</si>
  <si>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</si>
  <si>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</si>
  <si>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</si>
  <si>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</si>
  <si>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</si>
  <si>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</si>
  <si>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</si>
  <si>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</si>
  <si>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</si>
  <si>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</si>
  <si>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</si>
  <si>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</si>
  <si>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</si>
  <si>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</si>
  <si>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</si>
  <si>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</si>
  <si>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</si>
  <si>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</si>
  <si>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</si>
  <si>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</si>
  <si>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</si>
  <si>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</si>
  <si>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</si>
  <si>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</si>
  <si>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</si>
  <si>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</si>
  <si>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</si>
  <si>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</si>
  <si>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</si>
  <si>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</si>
  <si>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</si>
  <si>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</si>
  <si>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</si>
  <si>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</si>
  <si>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</si>
  <si>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</si>
  <si>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</si>
  <si>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</si>
  <si>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</si>
  <si>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</si>
  <si>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</si>
  <si>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</si>
  <si>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</si>
  <si>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</si>
  <si>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</si>
  <si>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</si>
  <si>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</si>
  <si>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</si>
  <si>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</si>
  <si>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</si>
  <si>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</si>
  <si>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</si>
  <si>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</si>
  <si>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</si>
  <si>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</si>
  <si>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</si>
  <si>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</si>
  <si>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</si>
  <si>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</si>
  <si>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</si>
  <si>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</si>
  <si>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</si>
  <si>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</si>
  <si>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</si>
  <si>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</si>
  <si>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</si>
  <si>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</si>
  <si>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</si>
  <si>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</si>
  <si>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</si>
  <si>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</si>
  <si>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</si>
  <si>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</si>
  <si>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</si>
  <si>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</si>
  <si>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</si>
  <si>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</si>
  <si>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</si>
  <si>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</si>
  <si>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</si>
  <si>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</si>
  <si>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</si>
  <si>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</si>
  <si>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</si>
  <si>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</si>
  <si>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</si>
  <si>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</si>
  <si>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</si>
  <si>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</si>
  <si>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</si>
  <si>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</si>
  <si>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</si>
  <si>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</si>
  <si>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</si>
  <si>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</si>
  <si>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</si>
  <si>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</si>
  <si>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</si>
  <si>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</si>
  <si>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</si>
  <si>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</si>
  <si>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</si>
  <si>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</si>
  <si>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</si>
  <si>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</si>
  <si>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</si>
  <si>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</si>
  <si>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</si>
  <si>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</si>
  <si>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</si>
  <si>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</si>
  <si>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</si>
  <si>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</si>
  <si>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</si>
  <si>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</si>
  <si>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</si>
  <si>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</si>
  <si>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</si>
  <si>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</si>
  <si>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</si>
  <si>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</si>
  <si>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</si>
  <si>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</si>
  <si>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</si>
  <si>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</si>
  <si>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</si>
  <si>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</si>
  <si>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</si>
  <si>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</si>
  <si>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</si>
  <si>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</si>
  <si>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</si>
  <si>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</si>
  <si>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</si>
  <si>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</si>
  <si>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</si>
  <si>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</si>
  <si>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</si>
  <si>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</si>
  <si>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</si>
  <si>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</si>
  <si>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</si>
  <si>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</si>
  <si>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</si>
  <si>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</si>
  <si>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</si>
  <si>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</si>
  <si>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</si>
  <si>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</si>
  <si>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</si>
  <si>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</si>
  <si>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</si>
  <si>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</si>
  <si>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</si>
  <si>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</si>
  <si>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</si>
  <si>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</si>
  <si>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</si>
  <si>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</si>
  <si>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</si>
  <si>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</si>
  <si>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</si>
  <si>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</si>
  <si>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</si>
  <si>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</si>
  <si>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</si>
  <si>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</si>
  <si>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</si>
  <si>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</si>
  <si>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</si>
  <si>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</si>
  <si>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</si>
  <si>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</si>
  <si>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</si>
  <si>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</si>
  <si>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</si>
  <si>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</si>
  <si>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</si>
  <si>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</si>
  <si>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</si>
  <si>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</si>
  <si>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</si>
  <si>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</si>
  <si>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</si>
  <si>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</si>
  <si>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</si>
  <si>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</si>
  <si>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</si>
  <si>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</si>
  <si>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</si>
  <si>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</si>
  <si>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</si>
  <si>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</si>
  <si>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</si>
  <si>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</si>
  <si>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</si>
  <si>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</si>
  <si>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</si>
  <si>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</si>
  <si>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</si>
  <si>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</si>
  <si>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</si>
  <si>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</si>
  <si>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</si>
  <si>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</si>
  <si>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</si>
  <si>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</si>
  <si>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</si>
  <si>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</si>
  <si>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</si>
  <si>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</si>
  <si>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</si>
  <si>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</si>
  <si>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</si>
  <si>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</si>
  <si>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</si>
  <si>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</si>
  <si>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</si>
  <si>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</si>
  <si>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</si>
  <si>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</si>
  <si>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</si>
  <si>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</si>
  <si>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</si>
  <si>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</si>
  <si>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</si>
  <si>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</si>
  <si>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</si>
  <si>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</si>
  <si>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</si>
  <si>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</si>
  <si>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</si>
  <si>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</si>
  <si>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</si>
  <si>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</si>
  <si>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</si>
  <si>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</si>
  <si>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</si>
  <si>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</si>
  <si>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</si>
  <si>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</si>
  <si>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</si>
  <si>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</si>
  <si>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</si>
  <si>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</si>
  <si>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</si>
  <si>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</si>
  <si>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</si>
  <si>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</si>
  <si>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</si>
  <si>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</si>
  <si>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</si>
  <si>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</si>
  <si>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</si>
  <si>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</si>
  <si>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</si>
  <si>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</si>
  <si>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</si>
  <si>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</si>
  <si>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</si>
  <si>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</si>
  <si>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</si>
  <si>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</si>
  <si>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</si>
  <si>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</si>
  <si>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</si>
  <si>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</si>
  <si>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</si>
  <si>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</si>
  <si>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</si>
  <si>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</si>
  <si>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</si>
  <si>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</si>
  <si>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</si>
  <si>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</si>
  <si>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</si>
  <si>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</si>
  <si>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</si>
  <si>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</si>
  <si>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</si>
  <si>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</si>
  <si>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</si>
  <si>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</si>
  <si>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</si>
  <si>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</si>
  <si>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</si>
  <si>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</si>
  <si>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</si>
  <si>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</si>
  <si>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</si>
  <si>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</si>
  <si>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</si>
  <si>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</si>
  <si>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</si>
  <si>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</si>
  <si>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</si>
  <si>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</si>
  <si>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</si>
  <si>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</si>
  <si>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</si>
  <si>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</si>
  <si>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</si>
  <si>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</si>
  <si>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</si>
  <si>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</si>
  <si>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</si>
  <si>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</si>
  <si>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</si>
  <si>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</si>
  <si>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</si>
  <si>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</si>
  <si>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</si>
  <si>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</si>
  <si>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</si>
  <si>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</si>
  <si>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</si>
  <si>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</si>
  <si>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</si>
  <si>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</si>
  <si>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</si>
  <si>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</si>
  <si>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</si>
  <si>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</si>
  <si>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</si>
  <si>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</si>
  <si>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</si>
  <si>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</si>
  <si>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</si>
  <si>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</si>
  <si>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</si>
  <si>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</si>
  <si>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</si>
  <si>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</si>
  <si>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</si>
  <si>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</si>
  <si>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</si>
  <si>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</si>
  <si>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</si>
  <si>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</si>
  <si>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</si>
  <si>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</si>
  <si>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</si>
  <si>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</si>
  <si>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</si>
  <si>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</si>
  <si>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</si>
  <si>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</si>
  <si>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</si>
  <si>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</si>
  <si>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</si>
  <si>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</si>
  <si>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</si>
  <si>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</si>
  <si>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</si>
  <si>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</si>
  <si>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</si>
  <si>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</si>
  <si>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</si>
  <si>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</si>
  <si>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</si>
  <si>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</si>
  <si>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</si>
  <si>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</si>
  <si>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</si>
  <si>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</si>
  <si>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</si>
  <si>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</si>
  <si>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</si>
  <si>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</si>
  <si>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</si>
  <si>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</si>
  <si>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</si>
  <si>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</si>
  <si>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</si>
  <si>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</si>
  <si>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</si>
  <si>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</si>
  <si>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</si>
  <si>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</si>
  <si>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</si>
  <si>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</si>
  <si>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</si>
  <si>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</si>
  <si>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</si>
  <si>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</si>
  <si>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</si>
  <si>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</si>
  <si>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</si>
  <si>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</si>
  <si>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</si>
  <si>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</si>
  <si>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</si>
  <si>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</si>
  <si>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</si>
  <si>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</si>
  <si>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</si>
  <si>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</si>
  <si>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</si>
  <si>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</si>
  <si>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</si>
  <si>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</si>
  <si>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</si>
  <si>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</si>
  <si>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</si>
  <si>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</si>
  <si>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</si>
  <si>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</si>
  <si>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</si>
  <si>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</si>
  <si>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</si>
  <si>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</si>
  <si>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</si>
  <si>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</si>
  <si>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</si>
  <si>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</si>
  <si>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</si>
  <si>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</si>
  <si>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</si>
  <si>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</si>
  <si>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</si>
  <si>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</si>
  <si>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</si>
  <si>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</si>
  <si>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</si>
  <si>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</si>
  <si>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</si>
  <si>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</si>
  <si>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</si>
  <si>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</si>
  <si>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</si>
  <si>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</si>
  <si>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</si>
  <si>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</si>
  <si>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</si>
  <si>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</si>
  <si>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</si>
  <si>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</si>
  <si>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</si>
  <si>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</si>
  <si>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</si>
  <si>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</si>
  <si>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</si>
  <si>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</si>
  <si>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</si>
  <si>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</si>
  <si>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</si>
  <si>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</si>
  <si>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</si>
  <si>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</si>
  <si>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</si>
  <si>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</si>
  <si>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</si>
  <si>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</si>
  <si>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</si>
  <si>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</si>
  <si>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</si>
  <si>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</si>
  <si>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</si>
  <si>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</si>
  <si>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</si>
  <si>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</si>
  <si>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</si>
  <si>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</si>
  <si>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</si>
  <si>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</si>
  <si>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</si>
  <si>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</si>
  <si>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</si>
  <si>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</si>
  <si>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</si>
  <si>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</si>
  <si>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</si>
  <si>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</si>
  <si>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</si>
  <si>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</si>
  <si>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</si>
  <si>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</si>
  <si>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</si>
  <si>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</si>
  <si>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</si>
  <si>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</si>
  <si>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</si>
  <si>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</si>
  <si>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</si>
  <si>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</si>
  <si>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</si>
  <si>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</si>
  <si>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</si>
  <si>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</si>
  <si>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</si>
  <si>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</si>
  <si>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</si>
  <si>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</si>
  <si>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</si>
  <si>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</si>
  <si>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</si>
  <si>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</si>
  <si>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</si>
  <si>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</si>
  <si>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</si>
  <si>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</si>
  <si>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</si>
  <si>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</si>
  <si>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</si>
  <si>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</si>
  <si>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</si>
  <si>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</si>
  <si>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</si>
  <si>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</si>
  <si>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</si>
  <si>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</si>
  <si>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</si>
  <si>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</si>
  <si>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</si>
  <si>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</si>
  <si>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</si>
  <si>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</si>
  <si>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</si>
  <si>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</si>
  <si>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</si>
  <si>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</si>
  <si>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</si>
  <si>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</si>
  <si>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</si>
  <si>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</si>
  <si>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</si>
  <si>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</si>
  <si>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</si>
  <si>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</si>
  <si>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</si>
  <si>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</si>
  <si>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</si>
  <si>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</si>
  <si>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</si>
  <si>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</si>
  <si>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</si>
  <si>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</si>
  <si>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</si>
  <si>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</si>
  <si>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</si>
  <si>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</si>
  <si>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</si>
  <si>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</si>
  <si>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</si>
  <si>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</si>
  <si>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</si>
  <si>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</si>
  <si>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</si>
  <si>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</si>
  <si>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</si>
  <si>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</si>
  <si>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</si>
  <si>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</si>
  <si>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</si>
  <si>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</si>
  <si>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</si>
  <si>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</si>
  <si>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</si>
  <si>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</si>
  <si>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</si>
  <si>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</si>
  <si>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</si>
  <si>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</si>
  <si>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</si>
  <si>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</si>
  <si>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</si>
  <si>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</si>
  <si>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</si>
  <si>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</si>
  <si>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</si>
  <si>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</si>
  <si>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</si>
  <si>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</si>
  <si>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</si>
  <si>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</si>
  <si>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</si>
  <si>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</si>
  <si>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</si>
  <si>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</si>
  <si>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</si>
  <si>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</si>
  <si>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</si>
  <si>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</si>
  <si>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</si>
  <si>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</si>
  <si>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</si>
  <si>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</si>
  <si>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</si>
  <si>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</si>
  <si>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</si>
  <si>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</si>
  <si>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</si>
  <si>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</si>
  <si>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</si>
  <si>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</si>
  <si>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</si>
  <si>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</si>
  <si>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</si>
  <si>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</si>
  <si>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</si>
  <si>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</si>
  <si>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</si>
  <si>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</si>
  <si>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</si>
  <si>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</si>
  <si>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</si>
  <si>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</si>
  <si>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</si>
  <si>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</si>
  <si>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</si>
  <si>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</si>
  <si>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</si>
  <si>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</si>
  <si>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</si>
  <si>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</si>
  <si>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</si>
  <si>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</si>
  <si>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</si>
  <si>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</si>
  <si>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</si>
  <si>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</si>
  <si>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</si>
  <si>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</si>
  <si>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</si>
  <si>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</si>
  <si>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</si>
  <si>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</si>
  <si>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</si>
  <si>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</si>
  <si>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</si>
  <si>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</si>
  <si>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</si>
  <si>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</si>
  <si>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</si>
  <si>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</si>
  <si>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</si>
  <si>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</si>
  <si>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</si>
  <si>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</si>
  <si>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</si>
  <si>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</si>
  <si>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</si>
  <si>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</si>
  <si>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</si>
  <si>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</si>
  <si>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</si>
  <si>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</si>
  <si>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</si>
  <si>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</si>
  <si>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</si>
  <si>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</si>
  <si>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</si>
  <si>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</si>
  <si>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</si>
  <si>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</si>
  <si>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</si>
  <si>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</si>
  <si>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</si>
  <si>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</si>
  <si>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</si>
  <si>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</si>
  <si>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</si>
  <si>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</si>
  <si>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</si>
  <si>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</si>
  <si>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</si>
  <si>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</si>
  <si>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</si>
  <si>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</si>
  <si>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</si>
  <si>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</si>
  <si>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</si>
  <si>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</si>
  <si>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</si>
  <si>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</si>
  <si>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</si>
  <si>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</si>
  <si>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</si>
  <si>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</si>
  <si>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</si>
  <si>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</si>
  <si>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</si>
  <si>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</si>
  <si>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</si>
  <si>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</si>
  <si>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</si>
  <si>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</si>
  <si>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</si>
  <si>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</si>
  <si>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</si>
  <si>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</si>
  <si>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</si>
  <si>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</si>
  <si>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</si>
  <si>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</si>
  <si>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</si>
  <si>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</si>
  <si>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</si>
  <si>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</si>
  <si>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</si>
  <si>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</si>
  <si>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</si>
  <si>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</si>
  <si>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</si>
  <si>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</si>
  <si>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</si>
  <si>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</si>
  <si>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</si>
  <si>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</si>
  <si>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</si>
  <si>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</si>
  <si>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</si>
  <si>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</si>
  <si>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</si>
  <si>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</si>
  <si>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</si>
  <si>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</si>
  <si>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</si>
  <si>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</si>
  <si>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</si>
  <si>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</si>
  <si>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</si>
  <si>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</si>
  <si>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</si>
  <si>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</si>
  <si>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</si>
  <si>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</si>
  <si>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</si>
  <si>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</si>
  <si>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</si>
  <si>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</si>
  <si>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</si>
  <si>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</si>
  <si>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</si>
  <si>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</si>
  <si>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</si>
  <si>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</si>
  <si>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</si>
  <si>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</si>
  <si>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</si>
  <si>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</si>
  <si>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</si>
  <si>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</si>
  <si>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</si>
  <si>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</si>
  <si>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</si>
  <si>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</si>
  <si>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</si>
  <si>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</si>
  <si>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</si>
  <si>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</si>
  <si>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</si>
  <si>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</si>
  <si>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</si>
  <si>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</si>
  <si>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</si>
  <si>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</si>
  <si>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</si>
  <si>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</si>
  <si>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</si>
  <si>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</si>
  <si>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</si>
  <si>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</si>
  <si>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</si>
  <si>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</si>
  <si>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</si>
  <si>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</si>
  <si>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</si>
  <si>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</si>
  <si>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</si>
  <si>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</si>
  <si>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</si>
  <si>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</si>
  <si>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</si>
  <si>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</si>
  <si>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</si>
  <si>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</si>
  <si>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</si>
  <si>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</si>
  <si>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</si>
  <si>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</si>
  <si>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</si>
  <si>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</si>
  <si>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</si>
  <si>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</si>
  <si>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</si>
  <si>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</si>
  <si>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</si>
  <si>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</si>
  <si>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</si>
  <si>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</si>
  <si>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</si>
  <si>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</si>
  <si>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</si>
  <si>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</si>
  <si>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</si>
  <si>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</si>
  <si>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</si>
  <si>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</si>
  <si>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</si>
  <si>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</si>
  <si>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</si>
  <si>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</si>
  <si>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</si>
  <si>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</si>
  <si>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</si>
  <si>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</si>
  <si>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</si>
  <si>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</si>
  <si>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</si>
  <si>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</si>
  <si>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</si>
  <si>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</si>
  <si>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</si>
  <si>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</si>
  <si>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</si>
  <si>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</si>
  <si>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</si>
  <si>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</si>
  <si>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</si>
  <si>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</si>
  <si>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</si>
  <si>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</si>
  <si>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</si>
  <si>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</si>
  <si>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</si>
  <si>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</si>
  <si>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</si>
  <si>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</si>
  <si>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</si>
  <si>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</si>
  <si>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</si>
  <si>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</si>
  <si>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</si>
  <si>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</si>
  <si>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</si>
  <si>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</si>
  <si>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</si>
  <si>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</si>
  <si>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</si>
  <si>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</si>
  <si>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</si>
  <si>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</si>
  <si>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</si>
  <si>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</si>
  <si>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</si>
  <si>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</si>
  <si>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</si>
  <si>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</si>
  <si>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</si>
  <si>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</si>
  <si>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</si>
  <si>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</si>
  <si>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</si>
  <si>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</si>
  <si>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</si>
  <si>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</si>
  <si>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</si>
  <si>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</si>
  <si>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</si>
  <si>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</si>
  <si>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</si>
  <si>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</si>
  <si>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</si>
  <si>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</si>
  <si>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</si>
  <si>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</si>
  <si>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</si>
  <si>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</si>
  <si>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</si>
  <si>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</si>
  <si>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</si>
  <si>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</si>
  <si>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</si>
  <si>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</si>
  <si>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</si>
  <si>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</si>
  <si>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</si>
  <si>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</si>
  <si>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</si>
  <si>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</si>
  <si>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</si>
  <si>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</si>
  <si>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</si>
  <si>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</si>
  <si>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</si>
  <si>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</si>
  <si>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</si>
  <si>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</si>
  <si>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</si>
  <si>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</si>
  <si>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</si>
  <si>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</si>
  <si>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</si>
  <si>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</si>
  <si>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</si>
  <si>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</si>
  <si>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</si>
  <si>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</si>
  <si>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</si>
  <si>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</si>
  <si>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</si>
  <si>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</si>
  <si>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</si>
  <si>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</si>
  <si>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</si>
  <si>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</si>
  <si>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</si>
  <si>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</si>
  <si>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</si>
  <si>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</si>
  <si>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</si>
  <si>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</si>
  <si>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</si>
  <si>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</si>
  <si>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</si>
  <si>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</si>
  <si>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</si>
  <si>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</si>
  <si>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</si>
  <si>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</si>
  <si>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</si>
  <si>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</si>
  <si>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</si>
  <si>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</si>
  <si>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</si>
  <si>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</si>
  <si>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</si>
  <si>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</si>
  <si>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</si>
  <si>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</si>
  <si>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</si>
  <si>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</si>
  <si>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</si>
  <si>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</si>
  <si>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</si>
  <si>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</si>
  <si>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</si>
  <si>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</si>
  <si>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</si>
  <si>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</si>
  <si>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</si>
  <si>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</si>
  <si>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</si>
  <si>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</si>
  <si>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</si>
  <si>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</si>
  <si>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</si>
  <si>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</si>
  <si>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</si>
  <si>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</si>
  <si>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</si>
  <si>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</si>
  <si>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</si>
  <si>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</si>
  <si>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</si>
  <si>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</si>
  <si>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</si>
  <si>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</si>
  <si>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</si>
  <si>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</si>
  <si>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</si>
  <si>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</si>
  <si>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</si>
  <si>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</si>
  <si>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</si>
  <si>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</si>
  <si>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</si>
  <si>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</si>
  <si>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</si>
  <si>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</si>
  <si>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</si>
  <si>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</si>
  <si>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</si>
  <si>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</si>
  <si>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</si>
  <si>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</si>
  <si>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</si>
  <si>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</si>
  <si>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</si>
  <si>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</si>
  <si>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</si>
  <si>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</si>
  <si>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</si>
  <si>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</si>
  <si>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</si>
  <si>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</si>
  <si>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</si>
  <si>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</si>
  <si>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</si>
  <si>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</si>
  <si>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</si>
  <si>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</si>
  <si>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</si>
  <si>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</si>
  <si>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</si>
  <si>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</si>
  <si>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</si>
  <si>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</si>
  <si>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</si>
  <si>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</si>
  <si>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</si>
  <si>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</si>
  <si>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</si>
  <si>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</si>
  <si>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</si>
  <si>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</si>
  <si>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</si>
  <si>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</si>
  <si>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</si>
  <si>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</si>
  <si>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</si>
  <si>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</si>
  <si>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</si>
  <si>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</si>
  <si>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</si>
  <si>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</si>
  <si>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</si>
  <si>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</si>
  <si>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</si>
  <si>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</si>
  <si>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</si>
  <si>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</si>
  <si>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</si>
  <si>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</si>
  <si>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</si>
  <si>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</si>
  <si>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</si>
  <si>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</si>
  <si>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</si>
  <si>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</si>
  <si>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</si>
  <si>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</si>
  <si>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</si>
  <si>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</si>
  <si>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</si>
  <si>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</si>
  <si>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</si>
  <si>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</si>
  <si>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</si>
  <si>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</si>
  <si>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</si>
  <si>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</si>
  <si>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</si>
  <si>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</si>
  <si>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</si>
  <si>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</si>
  <si>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</si>
  <si>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</si>
  <si>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</si>
  <si>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</si>
  <si>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</si>
  <si>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</si>
  <si>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</si>
  <si>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</si>
  <si>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</si>
  <si>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</si>
  <si>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</si>
  <si>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</si>
  <si>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</si>
  <si>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</si>
  <si>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</si>
  <si>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</si>
  <si>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</si>
  <si>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</si>
  <si>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</si>
  <si>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</si>
  <si>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</si>
  <si>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</si>
  <si>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</si>
  <si>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</si>
  <si>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</si>
  <si>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</si>
  <si>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</si>
  <si>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</si>
  <si>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</si>
  <si>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</si>
  <si>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</si>
  <si>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</si>
  <si>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</si>
  <si>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</si>
  <si>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</si>
  <si>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</si>
  <si>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</si>
  <si>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</si>
  <si>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</si>
  <si>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</si>
  <si>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</si>
  <si>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</si>
  <si>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</si>
  <si>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</si>
  <si>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</si>
  <si>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</si>
  <si>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</si>
  <si>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</si>
  <si>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</si>
  <si>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</si>
  <si>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</si>
  <si>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</si>
  <si>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</si>
  <si>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</si>
  <si>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</si>
  <si>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</si>
  <si>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</si>
  <si>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</si>
  <si>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</si>
  <si>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</si>
  <si>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</si>
  <si>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</si>
  <si>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</si>
  <si>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</si>
  <si>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</si>
  <si>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</si>
  <si>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</si>
  <si>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</si>
  <si>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</si>
  <si>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</si>
  <si>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</si>
  <si>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</si>
  <si>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</si>
  <si>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</si>
  <si>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</si>
  <si>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</si>
  <si>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</si>
  <si>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</si>
  <si>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</si>
  <si>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</si>
  <si>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</si>
  <si>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</si>
  <si>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</si>
  <si>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</si>
  <si>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</si>
  <si>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</si>
  <si>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</si>
  <si>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</si>
  <si>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</si>
  <si>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</si>
  <si>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</si>
  <si>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</si>
  <si>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</si>
  <si>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</si>
  <si>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</si>
  <si>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</si>
  <si>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</si>
  <si>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</si>
  <si>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</si>
  <si>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</si>
  <si>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</si>
  <si>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</si>
  <si>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</si>
  <si>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</si>
  <si>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</si>
  <si>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</si>
  <si>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</si>
  <si>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</si>
  <si>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</si>
  <si>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</si>
  <si>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</si>
  <si>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</si>
  <si>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</si>
  <si>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</si>
  <si>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</si>
  <si>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</si>
  <si>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</si>
  <si>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</si>
  <si>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</si>
  <si>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</si>
  <si>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</si>
  <si>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</si>
  <si>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</si>
  <si>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</si>
  <si>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</si>
  <si>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</si>
  <si>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</si>
  <si>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</si>
  <si>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</si>
  <si>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</si>
  <si>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</si>
  <si>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</si>
  <si>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</si>
  <si>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</si>
  <si>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</si>
  <si>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</si>
  <si>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</si>
  <si>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</si>
  <si>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</si>
  <si>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</si>
  <si>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</si>
  <si>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</si>
  <si>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</si>
  <si>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</si>
  <si>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</si>
  <si>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</si>
  <si>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</si>
  <si>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</si>
  <si>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</si>
  <si>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</si>
  <si>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</si>
  <si>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</si>
  <si>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</si>
  <si>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</si>
  <si>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</si>
  <si>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</si>
  <si>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</si>
  <si>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</si>
  <si>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</si>
  <si>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</si>
  <si>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</si>
  <si>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</si>
  <si>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</si>
  <si>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</si>
  <si>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</si>
  <si>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</si>
  <si>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</si>
  <si>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</si>
  <si>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</si>
  <si>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</si>
  <si>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</si>
  <si>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</si>
  <si>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</si>
  <si>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</si>
  <si>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</si>
  <si>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</si>
  <si>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</si>
  <si>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</si>
  <si>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</si>
  <si>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</si>
  <si>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</si>
  <si>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</si>
  <si>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</si>
  <si>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</si>
  <si>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</si>
  <si>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</si>
  <si>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</si>
  <si>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</si>
  <si>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</si>
  <si>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</si>
  <si>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</si>
  <si>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</si>
  <si>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</si>
  <si>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</si>
  <si>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</si>
  <si>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</si>
  <si>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</si>
  <si>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</si>
  <si>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</si>
  <si>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</si>
  <si>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</si>
  <si>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</si>
  <si>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</si>
  <si>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</si>
  <si>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</si>
  <si>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</si>
  <si>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</si>
  <si>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</si>
  <si>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</si>
  <si>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</si>
  <si>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</si>
  <si>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</si>
  <si>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</si>
  <si>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</si>
  <si>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</si>
  <si>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</si>
  <si>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</si>
  <si>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</si>
  <si>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</si>
  <si>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</si>
  <si>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</si>
  <si>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</si>
  <si>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</si>
  <si>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</si>
  <si>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</si>
  <si>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</si>
  <si>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</si>
  <si>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</si>
  <si>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</si>
  <si>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</si>
  <si>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</si>
  <si>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</si>
  <si>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</si>
  <si>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</si>
  <si>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</si>
  <si>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</si>
  <si>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</si>
  <si>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</si>
  <si>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</si>
  <si>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</si>
  <si>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</si>
  <si>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</si>
  <si>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</si>
  <si>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</si>
  <si>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</si>
  <si>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</si>
  <si>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</si>
  <si>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</si>
  <si>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</si>
  <si>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</si>
  <si>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</si>
  <si>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</si>
  <si>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</si>
  <si>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</si>
  <si>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</si>
  <si>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</si>
  <si>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</si>
  <si>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</si>
  <si>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</si>
  <si>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</si>
  <si>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</si>
  <si>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</si>
  <si>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</si>
  <si>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</si>
  <si>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</si>
  <si>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</si>
  <si>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</si>
  <si>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</si>
  <si>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</si>
  <si>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</si>
  <si>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</si>
  <si>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</si>
  <si>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</si>
  <si>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</si>
  <si>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</si>
  <si>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</si>
  <si>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</si>
  <si>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</si>
  <si>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</si>
  <si>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</si>
  <si>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</si>
  <si>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</si>
  <si>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</si>
  <si>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</si>
  <si>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</si>
  <si>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</si>
  <si>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</si>
  <si>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</si>
  <si>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</si>
  <si>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</si>
  <si>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</si>
  <si>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</si>
  <si>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</si>
  <si>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</si>
  <si>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</si>
  <si>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</si>
  <si>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</si>
  <si>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</si>
  <si>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</si>
  <si>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</si>
  <si>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</si>
  <si>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</si>
  <si>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</si>
  <si>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</si>
  <si>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</si>
  <si>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</si>
  <si>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</si>
  <si>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</si>
  <si>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</si>
  <si>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</si>
  <si>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</si>
  <si>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</si>
  <si>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</si>
  <si>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</si>
  <si>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</si>
  <si>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</si>
  <si>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</si>
  <si>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</si>
  <si>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</si>
  <si>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</si>
  <si>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</si>
  <si>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</si>
  <si>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</si>
  <si>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</si>
  <si>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</si>
  <si>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</si>
  <si>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</si>
  <si>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</si>
  <si>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</si>
  <si>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</si>
  <si>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</si>
  <si>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</si>
  <si>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</si>
  <si>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</si>
  <si>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</si>
  <si>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</si>
  <si>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</si>
  <si>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</si>
  <si>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</si>
  <si>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</si>
  <si>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</si>
  <si>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</si>
  <si>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</si>
  <si>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</si>
  <si>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</si>
  <si>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</si>
  <si>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</si>
  <si>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</si>
  <si>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</si>
  <si>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</si>
  <si>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</si>
  <si>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</si>
  <si>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</si>
  <si>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</si>
  <si>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</si>
  <si>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</si>
  <si>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</si>
  <si>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</si>
  <si>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</si>
  <si>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</si>
  <si>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</si>
  <si>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</si>
  <si>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</si>
  <si>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</si>
  <si>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</si>
  <si>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</si>
  <si>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</si>
  <si>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</si>
  <si>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</si>
  <si>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</si>
  <si>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</si>
  <si>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</si>
  <si>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</si>
  <si>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</si>
  <si>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</si>
  <si>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</si>
  <si>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</si>
  <si>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</si>
  <si>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</si>
  <si>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</si>
  <si>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</si>
  <si>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</si>
  <si>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</si>
  <si>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</si>
  <si>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</si>
  <si>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</si>
  <si>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</si>
  <si>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</si>
  <si>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</si>
  <si>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</si>
  <si>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</si>
  <si>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</si>
  <si>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</si>
  <si>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</si>
  <si>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</si>
  <si>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</si>
  <si>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</si>
  <si>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</si>
  <si>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</si>
  <si>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</si>
  <si>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</si>
  <si>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</si>
  <si>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</si>
  <si>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</si>
  <si>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</si>
  <si>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</si>
  <si>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</si>
  <si>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</si>
  <si>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</si>
  <si>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</si>
  <si>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</si>
  <si>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</si>
  <si>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</si>
  <si>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</si>
  <si>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</si>
  <si>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</si>
  <si>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</si>
  <si>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</si>
  <si>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</si>
  <si>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</si>
  <si>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</si>
  <si>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</si>
  <si>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</si>
  <si>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</si>
  <si>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</si>
  <si>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</si>
  <si>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</si>
  <si>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</si>
  <si>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</si>
  <si>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</si>
  <si>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</si>
  <si>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</si>
  <si>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</si>
  <si>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</si>
  <si>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</si>
  <si>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</si>
  <si>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</si>
  <si>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</si>
  <si>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</si>
  <si>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</si>
  <si>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</si>
  <si>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</si>
  <si>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</si>
  <si>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</si>
  <si>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</si>
  <si>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</si>
  <si>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</si>
  <si>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</si>
  <si>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</si>
  <si>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</si>
  <si>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</si>
  <si>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</si>
  <si>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</si>
  <si>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</si>
  <si>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</si>
  <si>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</si>
  <si>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</si>
  <si>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</si>
  <si>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</si>
  <si>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</si>
  <si>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</si>
  <si>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</si>
  <si>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</si>
  <si>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</si>
  <si>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</si>
  <si>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</si>
  <si>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</si>
  <si>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</si>
  <si>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</si>
  <si>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</si>
  <si>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</si>
  <si>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</si>
  <si>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</si>
  <si>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</si>
  <si>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</si>
  <si>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</si>
  <si>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</si>
  <si>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</si>
  <si>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</si>
  <si>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</si>
  <si>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</si>
  <si>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</si>
  <si>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</si>
  <si>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</si>
  <si>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</si>
  <si>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</si>
  <si>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</si>
  <si>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</si>
  <si>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</si>
  <si>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</si>
  <si>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</si>
  <si>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</si>
  <si>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</si>
  <si>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</si>
  <si>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</si>
  <si>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</si>
  <si>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</si>
  <si>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</si>
  <si>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</si>
  <si>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</si>
  <si>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</si>
  <si>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</si>
  <si>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</si>
  <si>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</si>
  <si>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</si>
  <si>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</si>
  <si>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</si>
  <si>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</si>
  <si>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</si>
  <si>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</si>
  <si>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</si>
  <si>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</si>
  <si>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</si>
  <si>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</si>
  <si>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</si>
  <si>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</si>
  <si>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</si>
  <si>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</si>
  <si>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</si>
  <si>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</si>
  <si>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</si>
  <si>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</si>
  <si>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</si>
  <si>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</si>
  <si>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</si>
  <si>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</si>
  <si>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</si>
  <si>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</si>
  <si>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</si>
  <si>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</si>
  <si>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</si>
  <si>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</si>
  <si>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</si>
  <si>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</si>
  <si>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</si>
  <si>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</si>
  <si>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</si>
  <si>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</si>
  <si>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</si>
  <si>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</si>
  <si>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</si>
  <si>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</si>
  <si>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</si>
  <si>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</si>
  <si>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</si>
  <si>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</si>
  <si>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</si>
  <si>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</si>
  <si>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</si>
  <si>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</si>
  <si>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</si>
  <si>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</si>
  <si>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</si>
  <si>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</si>
  <si>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</si>
  <si>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</si>
  <si>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</si>
  <si>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</si>
  <si>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</si>
  <si>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</si>
  <si>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</si>
  <si>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</si>
  <si>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</si>
  <si>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</si>
  <si>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</si>
  <si>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</si>
  <si>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</si>
  <si>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</si>
  <si>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</si>
  <si>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</si>
  <si>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</si>
  <si>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</si>
  <si>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</si>
  <si>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</si>
  <si>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</si>
  <si>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</si>
  <si>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</si>
  <si>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</si>
  <si>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</si>
  <si>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</si>
  <si>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</si>
  <si>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</si>
  <si>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</si>
  <si>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</si>
  <si>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</si>
  <si>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</si>
  <si>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</si>
  <si>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</si>
  <si>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</si>
  <si>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</si>
  <si>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</si>
  <si>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</si>
  <si>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</si>
  <si>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</si>
  <si>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</si>
  <si>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</si>
  <si>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</si>
  <si>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</si>
  <si>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</si>
  <si>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</si>
  <si>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</si>
  <si>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</si>
  <si>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</si>
  <si>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</si>
  <si>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</si>
  <si>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</si>
  <si>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</si>
  <si>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</si>
  <si>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</si>
  <si>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</si>
  <si>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</si>
  <si>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</si>
  <si>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</si>
  <si>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</si>
  <si>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</si>
  <si>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</si>
  <si>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</si>
  <si>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</si>
  <si>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</si>
  <si>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</si>
  <si>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</si>
  <si>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</si>
  <si>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</si>
  <si>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</si>
  <si>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</si>
  <si>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</si>
  <si>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</si>
  <si>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</si>
  <si>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</si>
  <si>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</si>
  <si>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</si>
  <si>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</si>
  <si>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</si>
  <si>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</si>
  <si>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</si>
  <si>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</si>
  <si>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</si>
  <si>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</si>
  <si>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</si>
  <si>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</si>
  <si>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</si>
  <si>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</si>
  <si>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</si>
  <si>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</si>
  <si>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</si>
  <si>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</si>
  <si>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</si>
  <si>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</si>
  <si>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</si>
  <si>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</si>
  <si>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</si>
  <si>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</si>
  <si>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</si>
  <si>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</si>
  <si>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</si>
  <si>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</si>
  <si>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</si>
  <si>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</si>
  <si>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</si>
  <si>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</si>
  <si>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</si>
  <si>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</si>
  <si>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</si>
  <si>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</si>
  <si>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</si>
  <si>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</si>
  <si>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</si>
  <si>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</si>
  <si>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</si>
  <si>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</si>
  <si>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</si>
  <si>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</si>
  <si>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</si>
  <si>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</si>
  <si>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</si>
  <si>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</si>
  <si>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</si>
  <si>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</si>
  <si>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</si>
  <si>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</si>
  <si>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</si>
  <si>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</si>
  <si>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</si>
  <si>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</si>
  <si>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</si>
  <si>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</si>
  <si>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</si>
  <si>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</si>
  <si>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</si>
  <si>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</si>
  <si>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</si>
  <si>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</si>
  <si>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</si>
  <si>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</si>
  <si>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</si>
  <si>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</si>
  <si>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</si>
  <si>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</si>
  <si>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</si>
  <si>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</si>
  <si>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</si>
  <si>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</si>
  <si>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</si>
  <si>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</si>
  <si>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</si>
  <si>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</si>
  <si>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</si>
  <si>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</si>
  <si>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</si>
  <si>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</si>
  <si>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</si>
  <si>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</si>
  <si>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</si>
  <si>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</si>
  <si>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</si>
  <si>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</si>
  <si>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</si>
  <si>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</si>
  <si>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</si>
  <si>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</si>
  <si>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</si>
  <si>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</si>
  <si>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</si>
  <si>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</si>
  <si>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</si>
  <si>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</si>
  <si>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</si>
  <si>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</si>
  <si>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</si>
  <si>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</si>
  <si>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</si>
  <si>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</si>
  <si>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</si>
  <si>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</si>
  <si>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</si>
  <si>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</si>
  <si>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</si>
  <si>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</si>
  <si>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</si>
  <si>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</si>
  <si>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</si>
  <si>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</si>
  <si>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</si>
  <si>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</si>
  <si>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</si>
  <si>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</si>
  <si>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</si>
  <si>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</si>
  <si>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</si>
  <si>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</si>
  <si>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</si>
  <si>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</si>
  <si>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</si>
  <si>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</si>
  <si>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</si>
  <si>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</si>
  <si>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</si>
  <si>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</si>
  <si>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</si>
  <si>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</si>
  <si>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</si>
  <si>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</si>
  <si>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</si>
  <si>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</si>
  <si>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</si>
  <si>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</si>
  <si>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</si>
  <si>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</si>
  <si>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</si>
  <si>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</si>
  <si>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</si>
  <si>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</si>
  <si>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</si>
  <si>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</si>
  <si>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</si>
  <si>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</si>
  <si>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</si>
  <si>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</si>
  <si>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</si>
  <si>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</si>
  <si>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</si>
  <si>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</si>
  <si>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</si>
  <si>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</si>
  <si>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</si>
  <si>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</si>
  <si>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</si>
  <si>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</si>
  <si>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</si>
  <si>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</si>
  <si>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</si>
  <si>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</si>
  <si>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</si>
  <si>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</si>
  <si>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</si>
  <si>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</si>
  <si>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</si>
  <si>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</si>
  <si>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</si>
  <si>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</si>
  <si>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</si>
  <si>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</si>
  <si>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</si>
  <si>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</si>
  <si>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</si>
  <si>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</si>
  <si>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</si>
  <si>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</si>
  <si>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</si>
  <si>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</si>
  <si>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</si>
  <si>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</si>
  <si>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</si>
  <si>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</si>
  <si>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</si>
  <si>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</si>
  <si>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</si>
  <si>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</si>
  <si>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</si>
  <si>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</si>
  <si>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</si>
  <si>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</si>
  <si>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</si>
  <si>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</si>
  <si>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</si>
  <si>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</si>
  <si>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</si>
  <si>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</si>
  <si>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</si>
  <si>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</si>
  <si>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</si>
  <si>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</si>
  <si>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</si>
  <si>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</si>
  <si>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</si>
  <si>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</si>
  <si>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</si>
  <si>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</si>
  <si>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</si>
  <si>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</si>
  <si>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</si>
  <si>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</si>
  <si>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</si>
  <si>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</si>
  <si>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</si>
  <si>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</si>
  <si>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</si>
  <si>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</si>
  <si>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</si>
  <si>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</si>
  <si>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</si>
  <si>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</si>
  <si>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</si>
  <si>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</si>
  <si>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</si>
  <si>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</si>
  <si>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</si>
  <si>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</si>
  <si>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</si>
  <si>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</si>
  <si>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</si>
  <si>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</si>
  <si>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</si>
  <si>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</si>
  <si>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</si>
  <si>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</si>
  <si>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</si>
  <si>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</si>
  <si>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</si>
  <si>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</si>
  <si>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</si>
  <si>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</si>
  <si>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</si>
  <si>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</si>
  <si>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</si>
  <si>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</si>
  <si>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</si>
  <si>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</si>
  <si>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</si>
  <si>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</si>
  <si>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</si>
  <si>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</si>
  <si>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</si>
  <si>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</si>
  <si>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</si>
  <si>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</si>
  <si>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</si>
  <si>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</si>
  <si>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</si>
  <si>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</si>
  <si>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</si>
  <si>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</si>
  <si>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</si>
  <si>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</si>
  <si>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</si>
  <si>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</si>
  <si>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</si>
  <si>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</si>
  <si>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</si>
  <si>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</si>
  <si>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</si>
  <si>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</si>
  <si>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</si>
  <si>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</si>
  <si>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</si>
  <si>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</si>
  <si>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</si>
  <si>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</si>
  <si>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</si>
  <si>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</si>
  <si>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</si>
  <si>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</si>
  <si>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</si>
  <si>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</si>
  <si>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</si>
  <si>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</si>
  <si>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</si>
  <si>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</si>
  <si>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</si>
  <si>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</si>
  <si>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</si>
  <si>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</si>
  <si>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</si>
  <si>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</si>
  <si>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</si>
  <si>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</si>
  <si>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</si>
  <si>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</si>
  <si>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</si>
  <si>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</si>
  <si>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</si>
  <si>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</si>
  <si>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</si>
  <si>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</si>
  <si>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</si>
  <si>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</si>
  <si>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</si>
  <si>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</si>
  <si>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</si>
  <si>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</si>
  <si>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</si>
  <si>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</si>
  <si>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</si>
  <si>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</si>
  <si>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</si>
  <si>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</si>
  <si>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</si>
  <si>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</si>
  <si>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</si>
  <si>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</si>
  <si>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</si>
  <si>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</si>
  <si>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</si>
  <si>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</si>
  <si>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</si>
  <si>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</si>
  <si>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</si>
  <si>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</si>
  <si>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</si>
  <si>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</si>
  <si>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</si>
  <si>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</si>
  <si>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</si>
  <si>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</si>
  <si>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</si>
  <si>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</si>
  <si>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</si>
  <si>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</si>
  <si>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</si>
  <si>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</si>
  <si>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</si>
  <si>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</si>
  <si>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</si>
  <si>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</si>
  <si>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</si>
  <si>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</si>
  <si>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</si>
  <si>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</si>
  <si>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</si>
  <si>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</si>
  <si>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</si>
  <si>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</si>
  <si>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</si>
  <si>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</si>
  <si>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</si>
  <si>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</si>
  <si>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</si>
  <si>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</si>
  <si>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</si>
  <si>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</si>
  <si>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</si>
  <si>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</si>
  <si>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</si>
  <si>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</si>
  <si>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</si>
  <si>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</si>
  <si>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</si>
  <si>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</si>
  <si>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</si>
  <si>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</si>
  <si>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</si>
  <si>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</si>
  <si>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</si>
  <si>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</si>
  <si>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</si>
  <si>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</si>
  <si>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</si>
  <si>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</si>
  <si>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</si>
  <si>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</si>
  <si>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</si>
  <si>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</si>
  <si>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</si>
  <si>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</si>
  <si>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</si>
  <si>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</si>
  <si>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</si>
  <si>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</si>
  <si>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</si>
  <si>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</si>
  <si>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</si>
  <si>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</si>
  <si>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</si>
  <si>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</si>
  <si>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</si>
  <si>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</si>
  <si>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</si>
  <si>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</si>
  <si>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</si>
  <si>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</si>
  <si>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</si>
  <si>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</si>
  <si>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</si>
  <si>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</si>
  <si>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</si>
  <si>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</si>
  <si>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</si>
  <si>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</si>
  <si>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</si>
  <si>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</si>
  <si>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</si>
  <si>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</si>
  <si>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</si>
  <si>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</si>
  <si>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</si>
  <si>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</si>
  <si>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</si>
  <si>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</si>
  <si>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</si>
  <si>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</si>
  <si>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</si>
  <si>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</si>
  <si>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</si>
  <si>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</si>
  <si>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</si>
  <si>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</si>
  <si>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</si>
  <si>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</si>
  <si>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</si>
  <si>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</si>
  <si>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</si>
  <si>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</si>
  <si>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</si>
  <si>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</si>
  <si>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</si>
  <si>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</si>
  <si>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</si>
  <si>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</si>
  <si>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</si>
  <si>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</si>
  <si>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</si>
  <si>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</si>
  <si>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</si>
  <si>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</si>
  <si>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</si>
  <si>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</si>
  <si>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</si>
  <si>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</si>
  <si>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</si>
  <si>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</si>
  <si>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</si>
  <si>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</si>
  <si>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</si>
  <si>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</si>
  <si>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</si>
  <si>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</si>
  <si>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</si>
  <si>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</si>
  <si>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</si>
  <si>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</si>
  <si>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</si>
  <si>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</si>
  <si>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</si>
  <si>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</si>
  <si>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</si>
  <si>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</si>
  <si>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</si>
  <si>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</si>
  <si>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</si>
  <si>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</si>
  <si>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</si>
  <si>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</si>
  <si>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</si>
  <si>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</si>
  <si>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</si>
  <si>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</si>
  <si>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</si>
  <si>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</si>
  <si>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</si>
  <si>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</si>
  <si>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</si>
  <si>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</si>
  <si>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</si>
  <si>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</si>
  <si>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</si>
  <si>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</si>
  <si>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</si>
  <si>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</si>
  <si>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</si>
  <si>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</si>
  <si>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</si>
  <si>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</si>
  <si>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</si>
  <si>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</si>
  <si>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</si>
  <si>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</si>
  <si>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</si>
  <si>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</si>
  <si>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</si>
  <si>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</si>
  <si>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</si>
  <si>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</si>
  <si>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</si>
  <si>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</si>
  <si>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</si>
  <si>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</si>
  <si>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</si>
  <si>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</si>
  <si>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</si>
  <si>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</si>
  <si>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</si>
  <si>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</si>
  <si>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</si>
  <si>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</si>
  <si>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</si>
  <si>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</si>
  <si>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</si>
  <si>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</si>
  <si>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</si>
  <si>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</si>
  <si>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</si>
  <si>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</si>
  <si>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</si>
  <si>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</si>
  <si>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</si>
  <si>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</si>
  <si>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</si>
  <si>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</si>
  <si>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</si>
  <si>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</si>
  <si>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</si>
  <si>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</si>
  <si>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</si>
  <si>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</si>
  <si>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</si>
  <si>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</si>
  <si>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</si>
  <si>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</si>
  <si>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</si>
  <si>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</si>
  <si>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</si>
  <si>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</si>
  <si>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</si>
  <si>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</si>
  <si>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</si>
  <si>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</si>
  <si>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</si>
  <si>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</si>
  <si>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</si>
  <si>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</si>
  <si>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</si>
  <si>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</si>
  <si>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</si>
  <si>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</si>
  <si>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</si>
  <si>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</si>
  <si>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</si>
  <si>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</si>
  <si>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</si>
  <si>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</si>
  <si>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</si>
  <si>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</si>
  <si>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</si>
  <si>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</si>
  <si>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</si>
  <si>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</si>
  <si>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</si>
  <si>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</si>
  <si>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</si>
  <si>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</si>
  <si>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</si>
  <si>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</si>
  <si>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</si>
  <si>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</si>
  <si>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</si>
  <si>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</si>
  <si>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</si>
  <si>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</si>
  <si>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</si>
  <si>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</si>
  <si>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</si>
  <si>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</si>
  <si>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</si>
  <si>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</si>
  <si>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</si>
  <si>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</si>
  <si>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</si>
  <si>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</si>
  <si>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</si>
  <si>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</si>
  <si>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</si>
  <si>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</si>
  <si>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</si>
  <si>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</si>
  <si>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</si>
  <si>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</si>
  <si>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</si>
  <si>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</si>
  <si>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</si>
  <si>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</si>
  <si>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</si>
  <si>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</si>
  <si>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</si>
  <si>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</si>
  <si>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</si>
  <si>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</si>
  <si>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</si>
  <si>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</si>
  <si>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</si>
  <si>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</si>
  <si>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</si>
  <si>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</si>
  <si>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</si>
  <si>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</si>
  <si>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</si>
  <si>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</si>
  <si>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</si>
  <si>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</si>
  <si>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</si>
  <si>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</si>
  <si>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</si>
  <si>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</si>
  <si>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</si>
  <si>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</si>
  <si>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</si>
  <si>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</si>
  <si>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</si>
  <si>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</si>
  <si>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</si>
  <si>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</si>
  <si>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</si>
  <si>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</si>
  <si>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</si>
  <si>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</si>
  <si>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</si>
  <si>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</si>
  <si>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</si>
  <si>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</si>
  <si>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</si>
  <si>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</si>
  <si>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</si>
  <si>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</si>
  <si>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</si>
  <si>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</si>
  <si>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</si>
  <si>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</si>
  <si>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</si>
  <si>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</si>
  <si>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</si>
  <si>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</si>
  <si>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</si>
  <si>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</si>
  <si>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</si>
  <si>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</si>
  <si>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</si>
  <si>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</si>
  <si>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</si>
  <si>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</si>
  <si>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</si>
  <si>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</si>
  <si>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</si>
  <si>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</si>
  <si>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</si>
  <si>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</si>
  <si>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</si>
  <si>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</si>
  <si>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</si>
  <si>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</si>
  <si>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</si>
  <si>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</si>
  <si>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</si>
  <si>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</si>
  <si>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</si>
  <si>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</si>
  <si>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</si>
  <si>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</si>
  <si>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</si>
  <si>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</si>
  <si>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</si>
  <si>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</si>
  <si>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</si>
  <si>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</si>
  <si>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</si>
  <si>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</si>
  <si>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</si>
  <si>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</si>
  <si>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</si>
  <si>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</si>
  <si>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</si>
  <si>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</si>
  <si>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</si>
  <si>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</si>
  <si>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</si>
  <si>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</si>
  <si>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</si>
  <si>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</si>
  <si>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</si>
  <si>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</si>
  <si>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</si>
  <si>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</si>
  <si>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</si>
  <si>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</si>
  <si>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</si>
  <si>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</si>
  <si>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</si>
  <si>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</si>
  <si>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</si>
  <si>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</si>
  <si>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</si>
  <si>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</si>
  <si>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</si>
  <si>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</si>
  <si>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</si>
  <si>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</si>
  <si>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</si>
  <si>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</si>
  <si>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</si>
  <si>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</si>
  <si>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</si>
  <si>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</si>
  <si>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</si>
  <si>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</si>
  <si>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</si>
  <si>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</si>
  <si>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</si>
  <si>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</si>
  <si>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</si>
  <si>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</si>
  <si>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</si>
  <si>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</si>
  <si>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</si>
  <si>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</si>
  <si>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</si>
  <si>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</si>
  <si>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</si>
  <si>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</si>
  <si>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</si>
  <si>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</si>
  <si>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</si>
  <si>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</si>
  <si>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</si>
  <si>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</si>
  <si>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</si>
  <si>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</si>
  <si>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</si>
  <si>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</si>
  <si>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</si>
  <si>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</si>
  <si>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</si>
  <si>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</si>
  <si>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</si>
  <si>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</si>
  <si>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</si>
  <si>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</si>
  <si>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</si>
  <si>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</si>
  <si>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</si>
  <si>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</si>
  <si>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</si>
  <si>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</si>
  <si>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</si>
  <si>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</si>
  <si>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</si>
  <si>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</si>
  <si>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</si>
  <si>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</si>
  <si>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</si>
  <si>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</si>
  <si>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</si>
  <si>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</si>
  <si>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</si>
  <si>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</si>
  <si>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</si>
  <si>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</si>
  <si>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</si>
  <si>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</si>
  <si>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</si>
  <si>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</si>
  <si>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</si>
  <si>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</si>
  <si>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</si>
  <si>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</si>
  <si>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</si>
  <si>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</si>
  <si>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</si>
  <si>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</si>
  <si>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</si>
  <si>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</si>
  <si>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</si>
  <si>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</si>
  <si>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</si>
  <si>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</si>
  <si>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</si>
  <si>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</si>
  <si>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</si>
  <si>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</si>
  <si>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</si>
  <si>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</si>
  <si>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</si>
  <si>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</si>
  <si>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</si>
  <si>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</si>
  <si>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</si>
  <si>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</si>
  <si>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</si>
  <si>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</si>
  <si>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</si>
  <si>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</si>
  <si>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</si>
  <si>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</si>
  <si>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</si>
  <si>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</si>
  <si>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</si>
  <si>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</si>
  <si>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</si>
  <si>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</si>
  <si>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</si>
  <si>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</si>
  <si>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</si>
  <si>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</si>
  <si>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</si>
  <si>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</si>
  <si>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</si>
  <si>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</si>
  <si>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</si>
  <si>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</si>
  <si>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</si>
  <si>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</si>
  <si>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</si>
  <si>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</si>
  <si>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</si>
  <si>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</si>
  <si>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</si>
  <si>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</si>
  <si>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</si>
  <si>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</si>
  <si>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</si>
  <si>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</si>
  <si>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</si>
  <si>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</si>
  <si>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</si>
  <si>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</si>
  <si>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</si>
  <si>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</si>
  <si>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</si>
  <si>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</si>
  <si>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</si>
  <si>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</si>
  <si>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</si>
  <si>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</si>
  <si>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</si>
  <si>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</si>
  <si>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</si>
  <si>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</si>
  <si>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</si>
  <si>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</si>
  <si>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</si>
  <si>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</si>
  <si>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</si>
  <si>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</si>
  <si>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</si>
  <si>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</si>
  <si>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</si>
  <si>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</si>
  <si>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</si>
  <si>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</si>
  <si>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</si>
  <si>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</si>
  <si>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</si>
  <si>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</si>
  <si>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</si>
  <si>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</si>
  <si>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</si>
  <si>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</si>
  <si>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</si>
  <si>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</si>
  <si>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</si>
  <si>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</si>
  <si>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</si>
  <si>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</si>
  <si>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</si>
  <si>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</si>
  <si>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</si>
  <si>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</si>
  <si>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</si>
  <si>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</si>
  <si>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</si>
  <si>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</si>
  <si>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</si>
  <si>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</si>
  <si>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</si>
  <si>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</si>
  <si>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</si>
  <si>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</si>
  <si>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</si>
  <si>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</si>
  <si>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</si>
  <si>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</si>
  <si>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</si>
  <si>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</si>
  <si>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</si>
  <si>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</si>
  <si>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</si>
  <si>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</si>
  <si>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</si>
  <si>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</si>
  <si>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</si>
  <si>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</si>
  <si>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</si>
  <si>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</si>
  <si>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</si>
  <si>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</si>
  <si>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</si>
  <si>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</si>
  <si>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</si>
  <si>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</si>
  <si>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</si>
  <si>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</si>
  <si>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</si>
  <si>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</si>
  <si>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</si>
  <si>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</si>
  <si>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</si>
  <si>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</si>
  <si>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</si>
  <si>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</si>
  <si>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</si>
  <si>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</si>
  <si>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</si>
  <si>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</si>
  <si>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</si>
  <si>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</si>
  <si>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</si>
  <si>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</si>
  <si>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</si>
  <si>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</si>
  <si>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</si>
  <si>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</si>
  <si>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</si>
  <si>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</si>
  <si>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</si>
  <si>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</si>
  <si>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</si>
  <si>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</si>
  <si>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</si>
  <si>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</si>
  <si>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</si>
  <si>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</si>
  <si>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</si>
  <si>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</si>
  <si>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</si>
  <si>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</si>
  <si>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</si>
  <si>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</si>
  <si>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</si>
  <si>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</si>
  <si>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</si>
  <si>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</si>
  <si>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</si>
  <si>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</si>
  <si>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</si>
  <si>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</si>
  <si>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</si>
  <si>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</si>
  <si>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</si>
  <si>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</si>
  <si>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</si>
  <si>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</si>
  <si>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</si>
  <si>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</si>
  <si>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</si>
  <si>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</si>
  <si>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</si>
  <si>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</si>
  <si>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</si>
  <si>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</si>
  <si>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</si>
  <si>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</si>
  <si>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</si>
  <si>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</si>
  <si>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</si>
  <si>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</si>
  <si>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</si>
  <si>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</si>
  <si>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</si>
  <si>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</si>
  <si>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</si>
  <si>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</si>
  <si>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</si>
  <si>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</si>
  <si>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</si>
  <si>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</si>
  <si>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</si>
  <si>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</si>
  <si>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</si>
  <si>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</si>
  <si>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</si>
  <si>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</si>
  <si>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</si>
  <si>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</si>
  <si>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</si>
  <si>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</si>
  <si>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</si>
  <si>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</si>
  <si>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</si>
  <si>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</si>
  <si>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</si>
  <si>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</si>
  <si>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</si>
  <si>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</si>
  <si>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</si>
  <si>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</si>
  <si>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</si>
  <si>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</si>
  <si>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</si>
  <si>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</si>
  <si>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</si>
  <si>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</si>
  <si>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</si>
  <si>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</si>
  <si>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</si>
  <si>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</si>
  <si>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</si>
  <si>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</si>
  <si>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</si>
  <si>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</si>
  <si>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</si>
  <si>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</si>
  <si>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</si>
  <si>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</si>
  <si>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</si>
  <si>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</si>
  <si>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</si>
  <si>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</si>
  <si>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</si>
  <si>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</si>
  <si>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</si>
  <si>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</si>
  <si>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</si>
  <si>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</si>
  <si>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</si>
  <si>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</si>
  <si>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</si>
  <si>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</si>
  <si>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</si>
  <si>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</si>
  <si>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</si>
  <si>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</si>
  <si>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</si>
  <si>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</si>
  <si>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</si>
  <si>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</si>
  <si>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</si>
  <si>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</si>
  <si>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</si>
  <si>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</si>
  <si>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</si>
  <si>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</si>
  <si>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</si>
  <si>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</si>
  <si>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</si>
  <si>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</si>
  <si>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</si>
  <si>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</si>
  <si>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</si>
  <si>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</si>
  <si>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</si>
  <si>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</si>
  <si>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</si>
  <si>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</si>
  <si>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</si>
  <si>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</si>
  <si>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</si>
  <si>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</si>
  <si>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</si>
  <si>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</si>
  <si>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</si>
  <si>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</si>
  <si>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</si>
  <si>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</si>
  <si>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</si>
  <si>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</si>
  <si>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</si>
  <si>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</si>
  <si>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</si>
  <si>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</si>
  <si>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</si>
  <si>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</si>
  <si>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</si>
  <si>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</si>
  <si>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</si>
  <si>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</si>
  <si>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</si>
  <si>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</si>
  <si>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</si>
  <si>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</si>
  <si>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</si>
  <si>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</si>
  <si>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</si>
  <si>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</si>
  <si>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</si>
  <si>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</si>
  <si>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</si>
  <si>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</si>
  <si>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</si>
  <si>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</si>
  <si>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</si>
  <si>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</si>
  <si>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</si>
  <si>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</si>
  <si>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</si>
  <si>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</si>
  <si>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</si>
  <si>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</si>
  <si>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</si>
  <si>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</si>
  <si>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</si>
  <si>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</si>
  <si>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</si>
  <si>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</si>
  <si>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</si>
  <si>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</si>
  <si>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</si>
  <si>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</si>
  <si>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</si>
  <si>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</si>
  <si>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</si>
  <si>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</si>
  <si>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</si>
  <si>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</si>
  <si>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</si>
  <si>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</si>
  <si>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</si>
  <si>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</si>
  <si>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</si>
  <si>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</si>
  <si>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</si>
  <si>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</si>
  <si>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</si>
  <si>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</si>
  <si>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</si>
  <si>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</si>
  <si>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</si>
  <si>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</si>
  <si>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</si>
  <si>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</si>
  <si>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</si>
  <si>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</si>
  <si>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</si>
  <si>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</si>
  <si>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</si>
  <si>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</si>
  <si>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</si>
  <si>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</si>
  <si>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</si>
  <si>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</si>
  <si>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</si>
  <si>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</si>
  <si>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</si>
  <si>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</si>
  <si>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</si>
  <si>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</si>
  <si>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</si>
  <si>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</si>
  <si>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</si>
  <si>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</si>
  <si>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</si>
  <si>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</si>
  <si>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</si>
  <si>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</si>
  <si>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</si>
  <si>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</si>
  <si>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</si>
  <si>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</si>
  <si>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</si>
  <si>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</si>
  <si>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</si>
  <si>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</si>
  <si>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</si>
  <si>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</si>
  <si>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</si>
  <si>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</si>
  <si>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</si>
  <si>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</si>
  <si>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</si>
  <si>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</si>
  <si>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</si>
  <si>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</si>
  <si>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</si>
  <si>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</si>
  <si>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</si>
  <si>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</si>
  <si>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</si>
  <si>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</si>
  <si>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</si>
  <si>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</si>
  <si>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</si>
  <si>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</si>
  <si>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</si>
  <si>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</si>
  <si>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</si>
  <si>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</si>
  <si>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</si>
  <si>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</si>
  <si>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</si>
  <si>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</si>
  <si>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</si>
  <si>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</si>
  <si>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</si>
  <si>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</si>
  <si>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</si>
  <si>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</si>
  <si>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</si>
  <si>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</si>
  <si>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</si>
  <si>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</si>
  <si>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</si>
  <si>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</si>
  <si>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</si>
  <si>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</si>
  <si>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</si>
  <si>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</si>
  <si>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</si>
  <si>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</si>
  <si>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</si>
  <si>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</si>
  <si>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</si>
  <si>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</si>
  <si>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</si>
  <si>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</si>
  <si>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</si>
  <si>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</si>
  <si>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</si>
  <si>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</si>
  <si>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</si>
  <si>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</si>
  <si>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</si>
  <si>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</si>
  <si>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</si>
  <si>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</si>
  <si>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</si>
  <si>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</si>
  <si>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</si>
  <si>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</si>
  <si>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</si>
  <si>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</si>
  <si>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</si>
  <si>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</si>
  <si>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</si>
  <si>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</si>
  <si>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</si>
  <si>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</si>
  <si>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</si>
  <si>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</si>
  <si>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</si>
  <si>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</si>
  <si>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</si>
  <si>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</si>
  <si>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</si>
  <si>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</si>
  <si>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</si>
  <si>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</si>
  <si>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</si>
  <si>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</si>
  <si>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</si>
  <si>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</si>
  <si>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</si>
  <si>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</si>
  <si>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</si>
  <si>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</si>
  <si>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</si>
  <si>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</si>
  <si>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</si>
  <si>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</si>
  <si>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</si>
  <si>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</si>
  <si>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</si>
  <si>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</si>
  <si>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</si>
  <si>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</si>
  <si>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</si>
  <si>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</si>
  <si>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</si>
  <si>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</si>
  <si>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</si>
  <si>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</si>
  <si>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</si>
  <si>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</si>
  <si>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</si>
  <si>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</si>
  <si>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</si>
  <si>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</si>
  <si>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</si>
  <si>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</si>
  <si>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</si>
  <si>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</si>
  <si>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</si>
  <si>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</si>
  <si>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</si>
  <si>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</si>
  <si>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</si>
  <si>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</si>
  <si>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</si>
  <si>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</si>
  <si>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</si>
  <si>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</si>
  <si>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</si>
  <si>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</si>
  <si>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</si>
  <si>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</si>
  <si>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</si>
  <si>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</si>
  <si>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</si>
  <si>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</si>
  <si>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</si>
  <si>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</si>
  <si>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</si>
  <si>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</si>
  <si>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</si>
  <si>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</si>
  <si>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</si>
  <si>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</si>
  <si>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</si>
  <si>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</si>
  <si>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</si>
  <si>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</si>
  <si>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</si>
  <si>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</si>
  <si>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</si>
  <si>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</si>
  <si>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</si>
  <si>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</si>
  <si>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</si>
  <si>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</si>
  <si>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</si>
  <si>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</si>
  <si>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</si>
  <si>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</si>
  <si>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</si>
  <si>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</si>
  <si>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</si>
  <si>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</si>
  <si>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</si>
  <si>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</si>
  <si>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</si>
  <si>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</si>
  <si>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</si>
  <si>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</si>
  <si>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</si>
  <si>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</si>
  <si>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</si>
  <si>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</si>
  <si>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</si>
  <si>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</si>
  <si>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</si>
  <si>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</si>
  <si>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</si>
  <si>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</si>
  <si>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</si>
  <si>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</si>
  <si>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</si>
  <si>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</si>
  <si>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</si>
  <si>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</si>
  <si>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</si>
  <si>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</si>
  <si>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</si>
  <si>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</si>
  <si>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</si>
  <si>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</si>
  <si>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</si>
  <si>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</si>
  <si>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</si>
  <si>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</si>
  <si>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</si>
  <si>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</si>
  <si>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</si>
  <si>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</si>
  <si>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</si>
  <si>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</si>
  <si>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</si>
  <si>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</si>
  <si>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</si>
  <si>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</si>
  <si>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</si>
  <si>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</si>
  <si>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</si>
  <si>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</si>
  <si>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</si>
  <si>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</si>
  <si>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</si>
  <si>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</si>
  <si>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</si>
  <si>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</si>
  <si>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</si>
  <si>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</si>
  <si>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</si>
  <si>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</si>
  <si>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</si>
  <si>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</si>
  <si>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</si>
  <si>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</si>
  <si>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</si>
  <si>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</si>
  <si>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</si>
  <si>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</si>
  <si>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</si>
  <si>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</si>
  <si>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</si>
  <si>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</si>
  <si>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</si>
  <si>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</si>
  <si>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</si>
  <si>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</si>
  <si>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</si>
  <si>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</si>
  <si>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</si>
  <si>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</si>
  <si>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</si>
  <si>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</si>
  <si>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</si>
  <si>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</si>
  <si>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</si>
  <si>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</si>
  <si>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</si>
  <si>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</si>
  <si>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</si>
  <si>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</si>
  <si>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</si>
  <si>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</si>
  <si>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</si>
  <si>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</si>
  <si>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</si>
  <si>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</si>
  <si>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</si>
  <si>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</si>
  <si>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</si>
  <si>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</si>
  <si>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</si>
  <si>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</si>
  <si>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</si>
  <si>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</si>
  <si>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</si>
  <si>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</si>
  <si>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</si>
  <si>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</si>
  <si>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</si>
  <si>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</si>
  <si>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</si>
  <si>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</si>
  <si>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</si>
  <si>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</si>
  <si>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</si>
  <si>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</si>
  <si>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</si>
  <si>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</si>
  <si>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</si>
  <si>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</si>
  <si>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</si>
  <si>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</si>
  <si>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</si>
  <si>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</si>
  <si>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</si>
  <si>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</si>
  <si>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</si>
  <si>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</si>
  <si>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</si>
  <si>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</si>
  <si>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</si>
  <si>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</si>
  <si>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</si>
  <si>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</si>
  <si>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</si>
  <si>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</si>
  <si>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</si>
  <si>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</si>
  <si>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</si>
  <si>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</si>
  <si>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</si>
  <si>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</si>
  <si>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</si>
  <si>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</si>
  <si>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</si>
  <si>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</si>
  <si>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</si>
  <si>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</si>
  <si>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</si>
  <si>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</si>
  <si>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</si>
  <si>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</si>
  <si>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</si>
  <si>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</si>
  <si>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</si>
  <si>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</si>
  <si>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</si>
  <si>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</si>
  <si>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</si>
  <si>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</si>
  <si>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</si>
  <si>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</si>
  <si>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</si>
  <si>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</si>
  <si>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</si>
  <si>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</si>
  <si>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</si>
  <si>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</si>
  <si>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</si>
  <si>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</si>
  <si>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</si>
  <si>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</si>
  <si>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</si>
  <si>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</si>
  <si>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</si>
  <si>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</si>
  <si>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</si>
  <si>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</si>
  <si>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</si>
  <si>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</si>
  <si>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</si>
  <si>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</si>
  <si>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</si>
  <si>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</si>
  <si>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</si>
  <si>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</si>
  <si>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</si>
  <si>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</si>
  <si>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</si>
  <si>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</si>
  <si>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</si>
  <si>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</si>
  <si>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</si>
  <si>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</si>
  <si>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</si>
  <si>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</si>
  <si>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</si>
  <si>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</si>
  <si>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</si>
  <si>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</si>
  <si>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</si>
  <si>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</si>
  <si>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</si>
  <si>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</si>
  <si>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</si>
  <si>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</si>
  <si>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</si>
  <si>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</si>
  <si>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</si>
  <si>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</si>
  <si>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</si>
  <si>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</si>
  <si>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</si>
  <si>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</si>
  <si>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</si>
  <si>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</si>
  <si>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</si>
  <si>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</si>
  <si>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</si>
  <si>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</si>
  <si>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</si>
  <si>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</si>
  <si>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</si>
  <si>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</si>
  <si>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</si>
  <si>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</si>
  <si>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</si>
  <si>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</si>
  <si>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</si>
  <si>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</si>
  <si>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</si>
  <si>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</si>
  <si>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</si>
  <si>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</si>
  <si>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</si>
  <si>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</si>
  <si>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</si>
  <si>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</si>
  <si>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</si>
  <si>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</si>
  <si>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</si>
  <si>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</si>
  <si>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</si>
  <si>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</si>
  <si>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</si>
  <si>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</si>
  <si>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</si>
  <si>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</si>
  <si>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</si>
  <si>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</si>
  <si>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</si>
  <si>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</si>
  <si>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</si>
  <si>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</si>
  <si>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</si>
  <si>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</si>
  <si>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</si>
  <si>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</si>
  <si>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</si>
  <si>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</si>
  <si>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</si>
  <si>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</si>
  <si>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</si>
  <si>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</si>
  <si>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</si>
  <si>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</si>
  <si>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</si>
  <si>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</si>
  <si>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</si>
  <si>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</si>
  <si>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</si>
  <si>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</si>
  <si>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</si>
  <si>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</si>
  <si>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</si>
  <si>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</si>
  <si>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</si>
  <si>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</si>
  <si>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</si>
  <si>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</si>
  <si>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</si>
  <si>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</si>
  <si>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</si>
  <si>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</si>
  <si>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</si>
  <si>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</si>
  <si>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</si>
  <si>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</si>
  <si>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</si>
  <si>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</si>
  <si>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</si>
  <si>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</si>
  <si>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</si>
  <si>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</si>
  <si>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</si>
  <si>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</si>
  <si>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</si>
  <si>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</si>
  <si>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</si>
  <si>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</si>
  <si>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</si>
  <si>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</si>
  <si>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</si>
  <si>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</si>
  <si>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</si>
  <si>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</si>
  <si>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</si>
  <si>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</si>
  <si>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</si>
  <si>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</si>
  <si>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</si>
  <si>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</si>
  <si>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</si>
  <si>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</si>
  <si>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</si>
  <si>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</si>
  <si>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</si>
  <si>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</si>
  <si>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</si>
  <si>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</si>
  <si>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</si>
  <si>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</si>
  <si>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</si>
  <si>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</si>
  <si>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</si>
  <si>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</si>
  <si>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</si>
  <si>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</si>
  <si>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</si>
  <si>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</si>
  <si>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</si>
  <si>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</si>
  <si>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</si>
  <si>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</si>
  <si>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</si>
  <si>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</si>
  <si>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</si>
  <si>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</si>
  <si>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</si>
  <si>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</si>
  <si>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</si>
  <si>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</si>
  <si>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</si>
  <si>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</si>
  <si>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</si>
  <si>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</si>
  <si>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</si>
  <si>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</si>
  <si>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</si>
  <si>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</si>
  <si>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</si>
  <si>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</si>
  <si>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</si>
  <si>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</si>
  <si>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</si>
  <si>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</si>
  <si>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</si>
  <si>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</si>
  <si>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</si>
  <si>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</si>
  <si>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</si>
  <si>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</si>
  <si>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</si>
  <si>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</si>
  <si>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</si>
  <si>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</si>
  <si>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</si>
  <si>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</si>
  <si>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</si>
  <si>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</si>
  <si>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</si>
  <si>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</si>
  <si>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</si>
  <si>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</si>
  <si>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</si>
  <si>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</si>
  <si>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</si>
  <si>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</si>
  <si>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</si>
  <si>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</si>
  <si>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</si>
  <si>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</si>
  <si>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</si>
  <si>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</si>
  <si>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</si>
  <si>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</si>
  <si>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</si>
  <si>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</si>
  <si>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</si>
  <si>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</si>
  <si>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</si>
  <si>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</si>
  <si>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</si>
  <si>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</si>
  <si>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</si>
  <si>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</si>
  <si>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</si>
  <si>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</si>
  <si>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</si>
  <si>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</si>
  <si>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</si>
  <si>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</si>
  <si>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</si>
  <si>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</si>
  <si>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</si>
  <si>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</si>
  <si>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</si>
  <si>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</si>
  <si>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</si>
  <si>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</si>
  <si>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</si>
  <si>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</si>
  <si>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</si>
  <si>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</si>
  <si>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</si>
  <si>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</si>
  <si>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</si>
  <si>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</si>
  <si>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</si>
  <si>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</si>
  <si>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</si>
  <si>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</si>
  <si>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</si>
  <si>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</si>
  <si>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</si>
  <si>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</si>
  <si>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</si>
  <si>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</si>
  <si>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</si>
  <si>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</si>
  <si>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</si>
  <si>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</si>
  <si>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</si>
  <si>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</si>
  <si>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</si>
  <si>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</si>
  <si>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</si>
  <si>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</si>
  <si>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</si>
  <si>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</si>
  <si>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</si>
  <si>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</si>
  <si>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</si>
  <si>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</si>
  <si>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</si>
  <si>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</si>
  <si>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</si>
  <si>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</si>
  <si>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</si>
  <si>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</si>
  <si>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</si>
  <si>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</si>
  <si>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</si>
  <si>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</si>
  <si>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</si>
  <si>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</si>
  <si>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</si>
  <si>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</si>
  <si>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</si>
  <si>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</si>
  <si>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</si>
  <si>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</si>
  <si>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</si>
  <si>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</si>
  <si>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</si>
  <si>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</si>
  <si>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</si>
  <si>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</si>
  <si>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</si>
  <si>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</si>
  <si>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</si>
  <si>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</si>
  <si>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</si>
  <si>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</si>
  <si>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</si>
  <si>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</si>
  <si>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</si>
  <si>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</si>
  <si>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</si>
  <si>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</si>
  <si>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</si>
  <si>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</si>
  <si>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</si>
  <si>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</si>
  <si>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</si>
  <si>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</si>
  <si>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</si>
  <si>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</si>
  <si>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</si>
  <si>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</si>
  <si>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</si>
  <si>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</si>
  <si>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</si>
  <si>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</si>
  <si>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</si>
  <si>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</si>
  <si>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</si>
  <si>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</si>
  <si>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</si>
  <si>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</si>
  <si>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</si>
  <si>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</si>
  <si>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</si>
  <si>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</si>
  <si>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</si>
  <si>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</si>
  <si>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</si>
  <si>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</si>
  <si>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</si>
  <si>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</si>
  <si>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</si>
  <si>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</si>
  <si>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</si>
  <si>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</si>
  <si>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</si>
  <si>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</si>
  <si>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</si>
  <si>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</si>
  <si>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</si>
  <si>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</si>
  <si>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</si>
  <si>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</si>
  <si>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</si>
  <si>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</si>
  <si>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</si>
  <si>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</si>
  <si>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</si>
  <si>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</si>
  <si>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</si>
  <si>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</si>
  <si>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</si>
  <si>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</si>
  <si>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</si>
  <si>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</si>
  <si>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</si>
  <si>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</si>
  <si>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</si>
  <si>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</si>
  <si>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</si>
  <si>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</si>
  <si>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</si>
  <si>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</si>
  <si>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</si>
  <si>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</si>
  <si>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</si>
  <si>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</si>
  <si>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</si>
  <si>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</si>
  <si>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</si>
  <si>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</si>
  <si>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</si>
  <si>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</si>
  <si>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</si>
  <si>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</si>
  <si>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</si>
  <si>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</si>
  <si>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</si>
  <si>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</si>
  <si>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</si>
  <si>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</si>
  <si>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</si>
  <si>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</si>
  <si>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</si>
  <si>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</si>
  <si>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</si>
  <si>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</si>
  <si>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</si>
  <si>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</si>
  <si>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</si>
  <si>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</si>
  <si>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</si>
  <si>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</si>
  <si>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</si>
  <si>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</si>
  <si>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</si>
  <si>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</si>
  <si>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</si>
  <si>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</si>
  <si>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</si>
  <si>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</si>
  <si>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</si>
  <si>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</si>
  <si>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</si>
  <si>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</si>
  <si>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</si>
  <si>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</si>
  <si>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</si>
  <si>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</si>
  <si>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</si>
  <si>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</si>
  <si>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</si>
  <si>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</si>
  <si>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</si>
  <si>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</si>
  <si>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</si>
  <si>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</si>
  <si>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</si>
  <si>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</si>
  <si>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</si>
  <si>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</si>
  <si>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</si>
  <si>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</si>
  <si>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</si>
  <si>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</si>
  <si>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</si>
  <si>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</si>
  <si>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</si>
  <si>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</si>
  <si>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</si>
  <si>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</si>
  <si>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</si>
  <si>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</si>
  <si>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</si>
  <si>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</si>
  <si>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</si>
  <si>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</si>
  <si>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</si>
  <si>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</si>
  <si>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</si>
  <si>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</si>
  <si>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</si>
  <si>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</si>
  <si>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</si>
  <si>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</si>
  <si>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</si>
  <si>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</si>
  <si>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</si>
  <si>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</si>
  <si>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</si>
  <si>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</si>
  <si>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</si>
  <si>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</si>
  <si>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</si>
  <si>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</si>
  <si>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</si>
  <si>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</si>
  <si>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</si>
  <si>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</si>
  <si>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</si>
  <si>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</si>
  <si>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</si>
  <si>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</si>
  <si>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</si>
  <si>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</si>
  <si>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</si>
  <si>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</si>
  <si>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</si>
  <si>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</si>
  <si>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</si>
  <si>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</si>
  <si>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</si>
  <si>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</si>
  <si>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</si>
  <si>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</si>
  <si>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</si>
  <si>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</si>
  <si>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</si>
  <si>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</si>
  <si>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</si>
  <si>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</si>
  <si>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</si>
  <si>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</si>
  <si>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</si>
  <si>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</si>
  <si>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</si>
  <si>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</si>
  <si>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</si>
  <si>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</si>
  <si>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</si>
  <si>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</si>
  <si>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</si>
  <si>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</si>
  <si>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</si>
  <si>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</si>
  <si>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</si>
  <si>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</si>
  <si>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</si>
  <si>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</si>
  <si>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</si>
  <si>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</si>
  <si>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</si>
  <si>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</si>
  <si>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</si>
  <si>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</si>
  <si>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</si>
  <si>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</si>
  <si>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</si>
  <si>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</si>
  <si>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</si>
  <si>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</si>
  <si>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</si>
  <si>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</si>
  <si>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</si>
  <si>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</si>
  <si>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</si>
  <si>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</si>
  <si>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</si>
  <si>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</si>
  <si>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</si>
  <si>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</si>
  <si>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</si>
  <si>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</si>
  <si>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</si>
  <si>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</si>
  <si>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</si>
  <si>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</si>
  <si>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</si>
  <si>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</si>
  <si>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</si>
  <si>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</si>
  <si>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</si>
  <si>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</si>
  <si>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</si>
  <si>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</si>
  <si>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</si>
  <si>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</si>
  <si>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</si>
  <si>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</si>
  <si>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</si>
  <si>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</si>
  <si>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</si>
  <si>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</si>
  <si>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</si>
  <si>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</si>
  <si>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</si>
  <si>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</si>
  <si>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</si>
  <si>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</si>
  <si>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</si>
  <si>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</si>
  <si>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</si>
  <si>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</si>
  <si>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</si>
  <si>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</si>
  <si>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</si>
  <si>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</si>
  <si>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</si>
  <si>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</si>
  <si>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</si>
  <si>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</si>
  <si>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</si>
  <si>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</si>
  <si>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</si>
  <si>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</si>
  <si>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</si>
  <si>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</si>
  <si>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</si>
  <si>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</si>
  <si>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</si>
  <si>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</si>
  <si>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</si>
  <si>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</si>
  <si>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</si>
  <si>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</si>
  <si>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</si>
  <si>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</si>
  <si>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</si>
  <si>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</si>
  <si>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</si>
  <si>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</si>
  <si>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</si>
  <si>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</si>
  <si>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</si>
  <si>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</si>
  <si>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</si>
  <si>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</si>
  <si>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</si>
  <si>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</si>
  <si>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</si>
  <si>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</si>
  <si>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</si>
  <si>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</si>
  <si>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</si>
  <si>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</si>
  <si>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</si>
  <si>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</si>
  <si>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</si>
  <si>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</si>
  <si>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</si>
  <si>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</si>
  <si>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</si>
  <si>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</si>
  <si>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</si>
  <si>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</si>
  <si>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</si>
  <si>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</si>
  <si>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</si>
  <si>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</si>
  <si>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</si>
  <si>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</si>
  <si>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</si>
  <si>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</si>
  <si>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</si>
  <si>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</si>
  <si>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</si>
  <si>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</si>
  <si>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</si>
  <si>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</si>
  <si>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</si>
  <si>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</si>
  <si>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</si>
  <si>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</si>
  <si>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</si>
  <si>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</si>
  <si>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</si>
  <si>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</si>
  <si>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</si>
  <si>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</si>
  <si>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</si>
  <si>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</si>
  <si>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</si>
  <si>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</si>
  <si>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</si>
  <si>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</si>
  <si>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</si>
  <si>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</si>
  <si>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</si>
  <si>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</si>
  <si>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</si>
  <si>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</si>
  <si>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</si>
  <si>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</si>
  <si>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</si>
  <si>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</si>
  <si>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</si>
  <si>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</si>
  <si>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</si>
  <si>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</si>
  <si>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</si>
  <si>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</si>
  <si>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</si>
  <si>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</si>
  <si>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</si>
  <si>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</si>
  <si>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</si>
  <si>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</si>
  <si>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</si>
  <si>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</si>
  <si>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</si>
  <si>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</si>
  <si>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</si>
  <si>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</si>
  <si>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</si>
  <si>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</si>
  <si>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</si>
  <si>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</si>
  <si>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</si>
  <si>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</si>
  <si>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</si>
  <si>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</si>
  <si>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</si>
  <si>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</si>
  <si>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</si>
  <si>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</si>
  <si>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</si>
  <si>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</si>
  <si>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</si>
  <si>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</si>
  <si>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</si>
  <si>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</si>
  <si>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</si>
  <si>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</si>
  <si>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</si>
  <si>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</si>
  <si>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</si>
  <si>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</si>
  <si>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</si>
  <si>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</si>
  <si>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</si>
  <si>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</si>
  <si>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</si>
  <si>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</si>
  <si>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</si>
  <si>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</si>
  <si>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</si>
  <si>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</si>
  <si>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</si>
  <si>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</si>
  <si>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</si>
  <si>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</si>
  <si>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</si>
  <si>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</si>
  <si>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</si>
  <si>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</si>
  <si>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</si>
  <si>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</si>
  <si>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</si>
  <si>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</si>
  <si>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</si>
  <si>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</si>
  <si>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</si>
  <si>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</si>
  <si>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</si>
  <si>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</si>
  <si>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</si>
  <si>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</si>
  <si>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</si>
  <si>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</si>
  <si>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</si>
  <si>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</si>
  <si>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</si>
  <si>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</si>
  <si>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</si>
  <si>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</si>
  <si>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</si>
  <si>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</si>
  <si>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</si>
  <si>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</si>
  <si>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</si>
  <si>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</si>
  <si>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</si>
  <si>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</si>
  <si>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</si>
  <si>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</si>
  <si>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</si>
  <si>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</si>
  <si>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</si>
  <si>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</si>
  <si>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</si>
  <si>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</si>
  <si>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</si>
  <si>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</si>
  <si>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</si>
  <si>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</si>
  <si>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</si>
  <si>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</si>
  <si>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</si>
  <si>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</si>
  <si>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</si>
  <si>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</si>
  <si>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</si>
  <si>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</si>
  <si>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</si>
  <si>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</si>
  <si>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</si>
  <si>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</si>
  <si>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</si>
  <si>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</si>
  <si>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</si>
  <si>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</si>
  <si>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</si>
  <si>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</si>
  <si>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</si>
  <si>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</si>
  <si>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</si>
  <si>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</si>
  <si>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</si>
  <si>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</si>
  <si>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</si>
  <si>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</si>
  <si>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</si>
  <si>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</si>
  <si>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</si>
  <si>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</si>
  <si>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</si>
  <si>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</si>
  <si>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</si>
  <si>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</si>
  <si>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</si>
  <si>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</si>
  <si>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</si>
  <si>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</si>
  <si>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</si>
  <si>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</si>
  <si>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</si>
  <si>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</si>
  <si>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</si>
  <si>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</si>
  <si>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</si>
  <si>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</si>
  <si>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</si>
  <si>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</si>
  <si>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</si>
  <si>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</si>
  <si>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</si>
  <si>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</si>
  <si>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</si>
  <si>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</si>
  <si>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</si>
  <si>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</si>
  <si>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</si>
  <si>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</si>
  <si>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</si>
  <si>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</si>
  <si>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</si>
  <si>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</si>
  <si>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</si>
  <si>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</si>
  <si>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</si>
  <si>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</si>
  <si>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</si>
  <si>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</si>
  <si>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</si>
  <si>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</si>
  <si>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</si>
  <si>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</si>
  <si>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</si>
  <si>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</si>
  <si>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</si>
  <si>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</si>
  <si>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</si>
  <si>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</si>
  <si>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</si>
  <si>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</si>
  <si>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</si>
  <si>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</si>
  <si>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</si>
  <si>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</si>
  <si>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</si>
  <si>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</si>
  <si>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</si>
  <si>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</si>
  <si>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</si>
  <si>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</si>
  <si>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</si>
  <si>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</si>
  <si>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</si>
  <si>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</si>
  <si>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</si>
  <si>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</si>
  <si>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</si>
  <si>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</si>
  <si>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</si>
  <si>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</si>
  <si>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</si>
  <si>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</si>
  <si>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</si>
  <si>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</si>
  <si>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</si>
  <si>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</si>
  <si>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</si>
  <si>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</si>
  <si>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</si>
  <si>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</si>
  <si>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</si>
  <si>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</si>
  <si>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</si>
  <si>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</si>
  <si>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</si>
  <si>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</si>
  <si>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</si>
  <si>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</si>
  <si>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</si>
  <si>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</si>
  <si>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</si>
  <si>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</si>
  <si>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</si>
  <si>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</si>
  <si>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</si>
  <si>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</si>
  <si>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</si>
  <si>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</si>
  <si>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</si>
  <si>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</si>
  <si>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</si>
  <si>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</si>
  <si>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</si>
  <si>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</si>
  <si>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</si>
  <si>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</si>
  <si>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</si>
  <si>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</si>
  <si>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</si>
  <si>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</si>
  <si>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</si>
  <si>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</si>
  <si>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</si>
  <si>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</si>
  <si>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</si>
  <si>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</si>
  <si>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</si>
  <si>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</si>
  <si>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</si>
  <si>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</si>
  <si>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</si>
  <si>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</si>
  <si>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</si>
  <si>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</si>
  <si>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</si>
  <si>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</si>
  <si>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</si>
  <si>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</si>
  <si>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</si>
  <si>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</si>
  <si>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</si>
  <si>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</si>
  <si>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</si>
  <si>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</si>
  <si>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</si>
  <si>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</si>
  <si>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</si>
  <si>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</si>
  <si>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</si>
  <si>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</si>
  <si>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</si>
  <si>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</si>
  <si>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</si>
  <si>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</si>
  <si>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</si>
  <si>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</si>
  <si>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</si>
  <si>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</si>
  <si>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</si>
  <si>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</si>
  <si>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</si>
  <si>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</si>
  <si>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</si>
  <si>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</si>
  <si>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</si>
  <si>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</si>
  <si>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</si>
  <si>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</si>
  <si>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</si>
  <si>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</si>
  <si>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</si>
  <si>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</si>
  <si>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</si>
  <si>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</si>
  <si>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</si>
  <si>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</si>
  <si>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</si>
  <si>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</si>
  <si>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</si>
  <si>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</si>
  <si>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</si>
  <si>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</si>
  <si>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</si>
  <si>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</si>
  <si>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</si>
  <si>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</si>
  <si>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</si>
  <si>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</si>
  <si>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</si>
  <si>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</si>
  <si>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</si>
  <si>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</si>
  <si>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</si>
  <si>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</si>
  <si>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</si>
  <si>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</si>
  <si>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</si>
  <si>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</si>
  <si>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</si>
  <si>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</si>
  <si>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</si>
  <si>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</si>
  <si>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</si>
  <si>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</si>
  <si>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</si>
  <si>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</si>
  <si>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</si>
  <si>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</si>
  <si>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</si>
  <si>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</si>
  <si>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</si>
  <si>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</si>
  <si>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</si>
  <si>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</si>
  <si>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</si>
  <si>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</si>
  <si>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</si>
  <si>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</si>
  <si>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</si>
  <si>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</si>
  <si>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</si>
  <si>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</si>
  <si>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</si>
  <si>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</si>
  <si>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</si>
  <si>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</si>
  <si>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</si>
  <si>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</si>
  <si>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</si>
  <si>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</si>
  <si>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</si>
  <si>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</si>
  <si>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</si>
  <si>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</si>
  <si>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</si>
  <si>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</si>
  <si>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</si>
  <si>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</si>
  <si>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</si>
  <si>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</si>
  <si>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</si>
  <si>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</si>
  <si>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</si>
  <si>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</si>
  <si>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</si>
  <si>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</si>
  <si>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</si>
  <si>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</si>
  <si>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</si>
  <si>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</si>
  <si>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</si>
  <si>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</si>
  <si>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</si>
  <si>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</si>
  <si>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</si>
  <si>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</si>
  <si>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</si>
  <si>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</si>
  <si>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</si>
  <si>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</si>
  <si>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</si>
  <si>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</si>
  <si>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</si>
  <si>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</si>
  <si>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</si>
  <si>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</si>
  <si>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</si>
  <si>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</si>
  <si>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</si>
  <si>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</si>
  <si>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</si>
  <si>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</si>
  <si>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</si>
  <si>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</si>
  <si>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</si>
  <si>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</si>
  <si>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</si>
  <si>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</si>
  <si>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</si>
  <si>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</si>
  <si>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</si>
  <si>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</si>
  <si>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</si>
  <si>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</si>
  <si>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</si>
  <si>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</si>
  <si>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</si>
  <si>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</si>
  <si>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</si>
  <si>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</si>
  <si>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</si>
  <si>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</si>
  <si>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</si>
  <si>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</si>
  <si>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</si>
  <si>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</si>
  <si>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</si>
  <si>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</si>
  <si>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</si>
  <si>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</si>
  <si>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</si>
  <si>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</si>
  <si>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</si>
  <si>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</si>
  <si>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</si>
  <si>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</si>
  <si>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</si>
  <si>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</si>
  <si>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</si>
  <si>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</si>
  <si>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</si>
  <si>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</si>
  <si>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</si>
  <si>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</si>
  <si>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</si>
  <si>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</si>
  <si>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</si>
  <si>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</si>
  <si>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</si>
  <si>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</si>
  <si>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</si>
  <si>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</si>
  <si>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</si>
  <si>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</si>
  <si>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</si>
  <si>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</si>
  <si>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</si>
  <si>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</si>
  <si>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</si>
  <si>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</si>
  <si>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</si>
  <si>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</si>
  <si>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</si>
  <si>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</si>
  <si>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</si>
  <si>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</si>
  <si>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</si>
  <si>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</si>
  <si>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</si>
  <si>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</si>
  <si>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</si>
  <si>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</si>
  <si>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</si>
  <si>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</si>
  <si>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</si>
  <si>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</si>
  <si>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</si>
  <si>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</si>
  <si>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</si>
  <si>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</si>
  <si>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</si>
  <si>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</si>
  <si>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</si>
  <si>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</si>
  <si>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</si>
  <si>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</si>
  <si>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</si>
  <si>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</si>
  <si>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</si>
  <si>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</si>
  <si>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</si>
  <si>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</si>
  <si>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</si>
  <si>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</si>
  <si>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</si>
  <si>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</si>
  <si>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</si>
  <si>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</si>
  <si>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</si>
  <si>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</si>
  <si>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</si>
  <si>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</si>
  <si>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</si>
  <si>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</si>
  <si>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</si>
  <si>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</si>
  <si>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</si>
  <si>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</si>
  <si>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</si>
  <si>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</si>
  <si>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</si>
  <si>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</si>
  <si>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</si>
  <si>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</si>
  <si>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</si>
  <si>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</si>
  <si>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</si>
  <si>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</si>
  <si>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</si>
  <si>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</si>
  <si>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</si>
  <si>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</si>
  <si>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</si>
  <si>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</si>
  <si>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</si>
  <si>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</si>
  <si>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</si>
  <si>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</si>
  <si>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</si>
  <si>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</si>
  <si>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</si>
  <si>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</si>
  <si>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</si>
  <si>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</si>
  <si>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</si>
  <si>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</si>
  <si>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</si>
  <si>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</si>
  <si>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</si>
  <si>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</si>
  <si>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</si>
  <si>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</si>
  <si>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</si>
  <si>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</si>
  <si>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</si>
  <si>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</si>
  <si>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</si>
  <si>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</si>
  <si>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</si>
  <si>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</si>
  <si>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</si>
  <si>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</si>
  <si>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</si>
  <si>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</si>
  <si>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</si>
  <si>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</si>
  <si>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</si>
  <si>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</si>
  <si>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</si>
  <si>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</si>
  <si>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</si>
  <si>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</si>
  <si>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</si>
  <si>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</si>
  <si>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</si>
  <si>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</si>
  <si>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</si>
  <si>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</si>
  <si>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</si>
  <si>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</si>
  <si>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</si>
  <si>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</si>
  <si>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</si>
  <si>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</si>
  <si>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</si>
  <si>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</si>
  <si>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</si>
  <si>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</si>
  <si>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</si>
  <si>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</si>
  <si>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</si>
  <si>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</si>
  <si>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</si>
  <si>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</si>
  <si>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</si>
  <si>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</si>
  <si>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</si>
  <si>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</si>
  <si>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</si>
  <si>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</si>
  <si>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</si>
  <si>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</si>
  <si>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</si>
  <si>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</si>
  <si>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</si>
  <si>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</si>
  <si>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</si>
  <si>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</si>
  <si>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</si>
  <si>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</si>
  <si>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</si>
  <si>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</si>
  <si>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</si>
  <si>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</si>
  <si>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</si>
  <si>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</si>
  <si>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</si>
  <si>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</si>
  <si>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</si>
  <si>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</si>
  <si>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</si>
  <si>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</si>
  <si>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</si>
  <si>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</si>
  <si>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</si>
  <si>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</si>
  <si>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</si>
  <si>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</si>
  <si>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</si>
  <si>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</si>
  <si>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</si>
  <si>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</si>
  <si>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</si>
  <si>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</si>
  <si>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</si>
  <si>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</si>
  <si>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</si>
  <si>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</si>
  <si>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</si>
  <si>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</si>
  <si>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</si>
  <si>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</si>
  <si>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</si>
  <si>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</si>
  <si>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</si>
  <si>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</si>
  <si>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</si>
  <si>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</si>
  <si>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</si>
  <si>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</si>
  <si>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</si>
  <si>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</si>
  <si>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</si>
  <si>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</si>
  <si>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</si>
  <si>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</si>
  <si>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</si>
  <si>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</si>
  <si>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</si>
  <si>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</si>
  <si>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</si>
  <si>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</si>
  <si>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</si>
  <si>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</si>
  <si>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</si>
  <si>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</si>
  <si>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</si>
  <si>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</si>
  <si>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</si>
  <si>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</si>
  <si>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</si>
  <si>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</si>
  <si>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</si>
  <si>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</si>
  <si>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</si>
  <si>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</si>
  <si>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</si>
  <si>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</si>
  <si>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</si>
  <si>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</si>
  <si>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</si>
  <si>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</si>
  <si>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</si>
  <si>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</si>
  <si>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</si>
  <si>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</si>
  <si>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</si>
  <si>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</si>
  <si>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</si>
  <si>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</si>
  <si>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</si>
  <si>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</si>
  <si>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</si>
  <si>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</si>
  <si>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</si>
  <si>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</si>
  <si>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</si>
  <si>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</si>
  <si>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</si>
  <si>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</si>
  <si>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</si>
  <si>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</si>
  <si>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</si>
  <si>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</si>
  <si>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</si>
  <si>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</si>
  <si>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</si>
  <si>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</si>
  <si>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</si>
  <si>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</si>
  <si>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</si>
  <si>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</si>
  <si>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</si>
  <si>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</si>
  <si>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</si>
  <si>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</si>
  <si>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</si>
  <si>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</si>
  <si>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</si>
  <si>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</si>
  <si>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</si>
  <si>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</si>
  <si>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</si>
  <si>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</si>
  <si>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</si>
  <si>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</si>
  <si>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</si>
  <si>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</si>
  <si>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</si>
  <si>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</si>
  <si>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</si>
  <si>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</si>
  <si>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</si>
  <si>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</si>
  <si>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</si>
  <si>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</si>
  <si>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</si>
  <si>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</si>
  <si>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</si>
  <si>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</si>
  <si>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</si>
  <si>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</si>
  <si>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</si>
  <si>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</si>
  <si>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</si>
  <si>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</si>
  <si>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</si>
  <si>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</si>
  <si>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</si>
  <si>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</si>
  <si>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</si>
  <si>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</si>
  <si>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</si>
  <si>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</si>
  <si>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</si>
  <si>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</si>
  <si>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</si>
  <si>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</si>
  <si>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</si>
  <si>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</si>
  <si>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</si>
  <si>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</si>
  <si>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</si>
  <si>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</si>
  <si>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</si>
  <si>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</si>
  <si>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</si>
  <si>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</si>
  <si>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</si>
  <si>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</si>
  <si>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</si>
  <si>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</si>
  <si>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</si>
  <si>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</si>
  <si>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</si>
  <si>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</si>
  <si>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</si>
  <si>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</si>
  <si>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</si>
  <si>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</si>
  <si>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</si>
  <si>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</si>
  <si>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</si>
  <si>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</si>
  <si>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</si>
  <si>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</si>
  <si>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</si>
  <si>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</si>
  <si>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</si>
  <si>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</si>
  <si>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</si>
  <si>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</si>
  <si>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</si>
  <si>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</si>
  <si>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</si>
  <si>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</si>
  <si>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</si>
  <si>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</si>
  <si>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</si>
  <si>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</si>
  <si>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</si>
  <si>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</si>
  <si>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</si>
  <si>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</si>
  <si>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</si>
  <si>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</si>
  <si>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</si>
  <si>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</si>
  <si>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</si>
  <si>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</si>
  <si>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</si>
  <si>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</si>
  <si>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</si>
  <si>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</si>
  <si>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</si>
  <si>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</si>
  <si>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</si>
  <si>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</si>
  <si>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</si>
  <si>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</si>
  <si>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</si>
  <si>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</si>
  <si>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</si>
  <si>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</si>
  <si>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</si>
  <si>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</si>
  <si>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</si>
  <si>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</si>
  <si>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</si>
  <si>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</si>
  <si>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</si>
  <si>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</si>
  <si>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</si>
  <si>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</si>
  <si>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</si>
  <si>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</si>
  <si>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</si>
  <si>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</si>
  <si>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</si>
  <si>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</si>
  <si>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</si>
  <si>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</si>
  <si>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</si>
  <si>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</si>
  <si>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</si>
  <si>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</si>
  <si>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</si>
  <si>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</si>
  <si>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</si>
  <si>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</si>
  <si>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</si>
  <si>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</si>
  <si>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</si>
  <si>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</si>
  <si>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</si>
  <si>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</si>
  <si>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</si>
  <si>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</si>
  <si>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</si>
  <si>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</si>
  <si>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</si>
  <si>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</si>
  <si>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</si>
  <si>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</si>
  <si>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</si>
  <si>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</si>
  <si>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</si>
  <si>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</si>
  <si>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</si>
  <si>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</si>
  <si>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</si>
  <si>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</si>
  <si>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</si>
  <si>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</si>
  <si>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</si>
  <si>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</si>
  <si>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</si>
  <si>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</si>
  <si>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</si>
  <si>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</si>
  <si>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</si>
  <si>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</si>
  <si>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</si>
  <si>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</si>
  <si>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</si>
  <si>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</si>
  <si>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</si>
  <si>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</si>
  <si>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</si>
  <si>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</si>
  <si>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</si>
  <si>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</si>
  <si>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</si>
  <si>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</si>
  <si>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</si>
  <si>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</si>
  <si>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</si>
  <si>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</si>
  <si>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</si>
  <si>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</si>
  <si>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</si>
  <si>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</si>
  <si>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</si>
  <si>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</si>
  <si>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</si>
  <si>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</si>
  <si>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</si>
  <si>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</si>
  <si>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</si>
  <si>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</si>
  <si>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</si>
  <si>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</si>
  <si>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</si>
  <si>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</si>
  <si>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</si>
  <si>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</si>
  <si>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</si>
  <si>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</si>
  <si>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</si>
  <si>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</si>
  <si>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</si>
  <si>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</si>
  <si>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</si>
  <si>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</si>
  <si>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</si>
  <si>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</si>
  <si>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</si>
  <si>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</si>
  <si>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</si>
  <si>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</si>
  <si>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</si>
  <si>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</si>
  <si>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</si>
  <si>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</si>
  <si>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</si>
  <si>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</si>
  <si>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</si>
  <si>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</si>
  <si>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</si>
  <si>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</si>
  <si>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</si>
  <si>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</si>
  <si>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</si>
  <si>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</si>
  <si>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</si>
  <si>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</si>
  <si>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</si>
  <si>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</si>
  <si>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</si>
  <si>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</si>
  <si>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</si>
  <si>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</si>
  <si>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</si>
  <si>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</si>
  <si>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</si>
  <si>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</si>
  <si>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</si>
  <si>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</si>
  <si>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</si>
  <si>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</si>
  <si>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</si>
  <si>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</si>
  <si>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</si>
  <si>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</si>
  <si>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</si>
  <si>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</si>
  <si>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</si>
  <si>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</si>
  <si>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</si>
  <si>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</si>
  <si>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</si>
  <si>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</si>
  <si>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</si>
  <si>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</si>
  <si>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</si>
  <si>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</si>
  <si>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</si>
  <si>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</si>
  <si>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</si>
  <si>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</si>
  <si>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</si>
  <si>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</si>
  <si>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</si>
  <si>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</si>
  <si>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</si>
  <si>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</si>
  <si>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</si>
  <si>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</si>
  <si>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</si>
  <si>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</si>
  <si>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</si>
  <si>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</si>
  <si>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</si>
  <si>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</si>
  <si>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</si>
  <si>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</si>
  <si>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</si>
  <si>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</si>
  <si>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</si>
  <si>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</si>
  <si>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</si>
  <si>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</si>
  <si>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</si>
  <si>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</si>
  <si>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</si>
  <si>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</si>
  <si>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</si>
  <si>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</si>
  <si>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</si>
  <si>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</si>
  <si>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</si>
  <si>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</si>
  <si>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</si>
  <si>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</si>
  <si>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</si>
  <si>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</si>
  <si>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</si>
  <si>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</si>
  <si>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</si>
  <si>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</si>
  <si>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</si>
  <si>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</si>
  <si>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</si>
  <si>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</si>
  <si>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</si>
  <si>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</si>
  <si>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</si>
  <si>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</si>
  <si>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</si>
  <si>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</si>
  <si>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</si>
  <si>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</si>
  <si>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</si>
  <si>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</si>
  <si>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</si>
  <si>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</si>
  <si>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</si>
  <si>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</si>
  <si>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</si>
  <si>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</si>
  <si>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</si>
  <si>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</si>
  <si>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</si>
  <si>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</si>
  <si>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</si>
  <si>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</si>
  <si>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</si>
  <si>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</si>
  <si>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</si>
  <si>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</si>
  <si>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</si>
  <si>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</si>
  <si>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</si>
  <si>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</si>
  <si>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</si>
  <si>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</si>
  <si>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</si>
  <si>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</si>
  <si>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</si>
  <si>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</si>
  <si>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</si>
  <si>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</si>
  <si>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</si>
  <si>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</si>
  <si>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</si>
  <si>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</si>
  <si>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</si>
  <si>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</si>
  <si>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</si>
  <si>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</si>
  <si>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</si>
  <si>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</si>
  <si>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</si>
  <si>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</si>
  <si>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</si>
  <si>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</si>
  <si>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</si>
  <si>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</si>
  <si>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</si>
  <si>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</si>
  <si>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</si>
  <si>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</si>
  <si>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</si>
  <si>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</si>
  <si>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</si>
  <si>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</si>
  <si>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</si>
  <si>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</si>
  <si>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</si>
  <si>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</si>
  <si>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</si>
  <si>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</si>
  <si>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</si>
  <si>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</si>
  <si>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</si>
  <si>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</si>
  <si>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</si>
  <si>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</si>
  <si>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</si>
  <si>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</si>
  <si>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</si>
  <si>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</si>
  <si>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</si>
  <si>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</si>
  <si>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</si>
  <si>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</si>
  <si>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</si>
  <si>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</si>
  <si>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</si>
  <si>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</si>
  <si>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</si>
  <si>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</si>
  <si>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</si>
  <si>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</si>
  <si>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</si>
  <si>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</si>
  <si>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</si>
  <si>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</si>
  <si>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</si>
  <si>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</si>
  <si>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</si>
  <si>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</si>
  <si>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</si>
  <si>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</si>
  <si>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</si>
  <si>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</si>
  <si>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</si>
  <si>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</si>
  <si>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</si>
  <si>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</si>
  <si>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</si>
  <si>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</si>
  <si>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</si>
  <si>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</si>
  <si>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</si>
  <si>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</si>
  <si>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</si>
  <si>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</si>
  <si>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</si>
  <si>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</si>
  <si>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</si>
  <si>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</si>
  <si>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</si>
  <si>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</si>
  <si>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</si>
  <si>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</si>
  <si>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</si>
  <si>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</si>
  <si>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</si>
  <si>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</si>
  <si>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</si>
  <si>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</si>
  <si>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</si>
  <si>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</si>
  <si>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</si>
  <si>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</si>
  <si>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</si>
  <si>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</si>
  <si>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</si>
  <si>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</si>
  <si>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</si>
  <si>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</si>
  <si>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</si>
  <si>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</si>
  <si>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</si>
  <si>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</si>
  <si>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</si>
  <si>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</si>
  <si>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</si>
  <si>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</si>
  <si>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</si>
  <si>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</si>
  <si>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</si>
  <si>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</si>
  <si>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</si>
  <si>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</si>
  <si>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</si>
  <si>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</si>
  <si>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</si>
  <si>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</si>
  <si>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</si>
  <si>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</si>
  <si>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</si>
  <si>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</si>
  <si>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</si>
  <si>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</si>
  <si>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</si>
  <si>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</si>
  <si>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</si>
  <si>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</si>
  <si>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</si>
  <si>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</si>
  <si>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</si>
  <si>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</si>
  <si>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</si>
  <si>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</si>
  <si>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</si>
  <si>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</si>
  <si>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</si>
  <si>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</si>
  <si>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</si>
  <si>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</si>
  <si>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</si>
  <si>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</si>
  <si>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</si>
  <si>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</si>
  <si>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</si>
  <si>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</si>
  <si>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</si>
  <si>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</si>
  <si>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</si>
  <si>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</si>
  <si>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</si>
  <si>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</si>
  <si>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</si>
  <si>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</si>
  <si>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</si>
  <si>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</si>
  <si>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</si>
  <si>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</si>
  <si>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</si>
  <si>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</si>
  <si>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</si>
  <si>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</si>
  <si>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</si>
  <si>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</si>
  <si>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</si>
  <si>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</si>
  <si>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</si>
  <si>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</si>
  <si>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</si>
  <si>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</si>
  <si>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</si>
  <si>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</si>
  <si>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</si>
  <si>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</si>
  <si>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</si>
  <si>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</si>
  <si>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</si>
  <si>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</si>
  <si>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</si>
  <si>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</si>
  <si>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</si>
  <si>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</si>
  <si>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</si>
  <si>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</si>
  <si>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</si>
  <si>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</si>
  <si>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</si>
  <si>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</si>
  <si>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</si>
  <si>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</si>
  <si>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</si>
  <si>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</si>
  <si>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</si>
  <si>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</si>
  <si>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</si>
  <si>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</si>
  <si>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</si>
  <si>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</si>
  <si>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</si>
  <si>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</si>
  <si>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</si>
  <si>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</si>
  <si>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</si>
  <si>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</si>
  <si>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</si>
  <si>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</si>
  <si>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</si>
  <si>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</si>
  <si>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</si>
  <si>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</si>
  <si>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</si>
  <si>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</si>
  <si>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</si>
  <si>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</si>
  <si>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</si>
  <si>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</si>
  <si>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</si>
  <si>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</si>
  <si>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</si>
  <si>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</si>
  <si>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</si>
  <si>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</si>
  <si>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</si>
  <si>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</si>
  <si>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</si>
  <si>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</si>
  <si>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</si>
  <si>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</si>
  <si>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</si>
  <si>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</si>
  <si>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</si>
  <si>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</si>
  <si>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</si>
  <si>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</si>
  <si>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</si>
  <si>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</si>
  <si>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</si>
  <si>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</si>
  <si>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</si>
  <si>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</si>
  <si>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</si>
  <si>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</si>
  <si>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</si>
  <si>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</si>
  <si>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</si>
  <si>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</si>
  <si>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</si>
  <si>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</si>
  <si>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</si>
  <si>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</si>
  <si>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</si>
  <si>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</si>
  <si>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</si>
  <si>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</si>
  <si>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</si>
  <si>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</si>
  <si>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</si>
  <si>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</si>
  <si>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</si>
  <si>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</si>
  <si>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</si>
  <si>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</si>
  <si>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</si>
  <si>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</si>
  <si>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</si>
  <si>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</si>
  <si>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</si>
  <si>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</si>
  <si>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</si>
  <si>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</si>
  <si>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</si>
  <si>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</si>
  <si>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</si>
  <si>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</si>
  <si>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</si>
  <si>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</si>
  <si>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</si>
  <si>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</si>
  <si>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</si>
  <si>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</si>
  <si>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</si>
  <si>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</si>
  <si>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</si>
  <si>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</si>
  <si>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</si>
  <si>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</si>
  <si>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</si>
  <si>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</si>
  <si>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</si>
  <si>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</si>
  <si>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</si>
  <si>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</si>
  <si>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</si>
  <si>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</si>
  <si>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</si>
  <si>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</si>
  <si>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</si>
  <si>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</si>
  <si>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</si>
  <si>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</si>
  <si>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</si>
  <si>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</si>
  <si>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</si>
  <si>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</si>
  <si>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</si>
  <si>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</si>
  <si>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</si>
  <si>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</si>
  <si>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</si>
  <si>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</si>
  <si>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</si>
  <si>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</si>
  <si>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</si>
  <si>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</si>
  <si>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</si>
  <si>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</si>
  <si>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</si>
  <si>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</si>
  <si>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</si>
  <si>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</si>
  <si>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</si>
  <si>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</si>
  <si>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</si>
  <si>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</si>
  <si>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</si>
  <si>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</si>
  <si>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</si>
  <si>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</si>
  <si>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</si>
  <si>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</si>
  <si>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</si>
  <si>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</si>
  <si>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</si>
  <si>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</si>
  <si>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</si>
  <si>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</si>
  <si>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</si>
  <si>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</si>
  <si>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</si>
  <si>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</si>
  <si>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</si>
  <si>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</si>
  <si>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</si>
  <si>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</si>
  <si>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</si>
  <si>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</si>
  <si>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</si>
  <si>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</si>
  <si>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</si>
  <si>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</si>
  <si>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</si>
  <si>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</si>
  <si>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</si>
  <si>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</si>
  <si>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</si>
  <si>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</si>
  <si>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</si>
  <si>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</si>
  <si>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</si>
  <si>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</si>
  <si>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</si>
  <si>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</si>
  <si>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</si>
  <si>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</si>
  <si>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</si>
  <si>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</si>
  <si>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</si>
  <si>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</si>
  <si>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</si>
  <si>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</si>
  <si>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</si>
  <si>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</si>
  <si>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</si>
  <si>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</si>
  <si>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</si>
  <si>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</si>
  <si>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</si>
  <si>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</si>
  <si>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</si>
  <si>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</si>
  <si>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</si>
  <si>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</si>
  <si>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</si>
  <si>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</si>
  <si>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</si>
  <si>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</si>
  <si>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</si>
  <si>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</si>
  <si>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</si>
  <si>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</si>
  <si>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</si>
  <si>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</si>
  <si>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</si>
  <si>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</si>
  <si>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</si>
  <si>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</si>
  <si>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</si>
  <si>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</si>
  <si>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</si>
  <si>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</si>
  <si>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</si>
  <si>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</si>
  <si>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</si>
  <si>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</si>
  <si>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</si>
  <si>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</si>
  <si>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</si>
  <si>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</si>
  <si>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</si>
  <si>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</si>
  <si>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</si>
  <si>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</si>
  <si>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</si>
  <si>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</si>
  <si>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</si>
  <si>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</si>
  <si>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</si>
  <si>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</si>
  <si>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</si>
  <si>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</si>
  <si>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</si>
  <si>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</si>
  <si>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</si>
  <si>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</si>
  <si>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</si>
  <si>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</si>
  <si>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</si>
  <si>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</si>
  <si>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</si>
  <si>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</si>
  <si>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</si>
  <si>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</si>
  <si>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</si>
  <si>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</si>
  <si>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</si>
  <si>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</si>
  <si>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</si>
  <si>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</si>
  <si>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</si>
  <si>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</si>
  <si>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</si>
  <si>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</si>
  <si>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</si>
  <si>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</si>
  <si>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</si>
  <si>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</si>
  <si>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</si>
  <si>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</si>
  <si>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</si>
  <si>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</si>
  <si>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</si>
  <si>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</si>
  <si>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</si>
  <si>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</si>
  <si>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</si>
  <si>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</si>
  <si>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</si>
  <si>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</si>
  <si>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</si>
  <si>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</si>
  <si>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</si>
  <si>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</si>
  <si>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</si>
  <si>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</si>
  <si>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</si>
  <si>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</si>
  <si>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</si>
  <si>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</si>
  <si>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</si>
  <si>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</si>
  <si>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</si>
  <si>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</si>
  <si>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</si>
  <si>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</si>
  <si>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</si>
  <si>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</si>
  <si>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</si>
  <si>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</si>
  <si>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</si>
  <si>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</si>
  <si>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</si>
  <si>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</si>
  <si>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</si>
  <si>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</si>
  <si>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</si>
  <si>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</si>
  <si>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</si>
  <si>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</si>
  <si>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</si>
  <si>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</si>
  <si>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</si>
  <si>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</si>
  <si>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</si>
  <si>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</si>
  <si>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</si>
  <si>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</si>
  <si>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</si>
  <si>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</si>
  <si>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</si>
  <si>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</si>
  <si>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</si>
  <si>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</si>
  <si>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</si>
  <si>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</si>
  <si>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</si>
  <si>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</si>
  <si>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</si>
  <si>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</si>
  <si>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</si>
  <si>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</si>
  <si>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</si>
  <si>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</si>
  <si>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</si>
  <si>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</si>
  <si>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</si>
  <si>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</si>
  <si>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</si>
  <si>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</si>
  <si>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</si>
  <si>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</si>
  <si>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</si>
  <si>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</si>
  <si>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</si>
  <si>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</si>
  <si>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</si>
  <si>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</si>
  <si>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</si>
  <si>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</si>
  <si>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</si>
  <si>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</si>
  <si>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</si>
  <si>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</si>
  <si>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</si>
  <si>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</si>
  <si>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</si>
  <si>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</si>
  <si>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</si>
  <si>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</si>
  <si>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</si>
  <si>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</si>
  <si>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</si>
  <si>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</si>
  <si>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</si>
  <si>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</si>
  <si>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</si>
  <si>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</si>
  <si>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</si>
  <si>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</si>
  <si>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</si>
  <si>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</si>
  <si>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</si>
  <si>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</si>
  <si>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</si>
  <si>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</si>
  <si>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</si>
  <si>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</si>
  <si>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</si>
  <si>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</si>
  <si>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</si>
  <si>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</si>
  <si>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</si>
  <si>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</si>
  <si>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</si>
  <si>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</si>
  <si>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</si>
  <si>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</si>
  <si>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</si>
  <si>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</si>
  <si>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</si>
  <si>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</si>
  <si>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</si>
  <si>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</si>
  <si>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</si>
  <si>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</si>
  <si>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</si>
  <si>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</si>
  <si>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</si>
  <si>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</si>
  <si>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</si>
  <si>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</si>
  <si>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</si>
  <si>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</si>
  <si>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</si>
  <si>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</si>
  <si>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</si>
  <si>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</si>
  <si>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</si>
  <si>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</si>
  <si>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</si>
  <si>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</si>
  <si>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</si>
  <si>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</si>
  <si>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</si>
  <si>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</si>
  <si>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</si>
  <si>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</si>
  <si>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</si>
  <si>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</si>
  <si>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</si>
  <si>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</si>
  <si>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</si>
  <si>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</si>
  <si>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</si>
  <si>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</si>
  <si>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</si>
  <si>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</si>
  <si>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</si>
  <si>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</si>
  <si>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</si>
  <si>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</si>
  <si>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</si>
  <si>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</si>
  <si>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</si>
  <si>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</si>
  <si>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</si>
  <si>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</si>
  <si>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</si>
  <si>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</si>
  <si>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</si>
  <si>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</si>
  <si>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</si>
  <si>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</si>
  <si>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</si>
  <si>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</si>
  <si>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</si>
  <si>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</si>
  <si>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</si>
  <si>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</si>
  <si>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</si>
  <si>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</si>
  <si>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</si>
  <si>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</si>
  <si>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</si>
  <si>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</si>
  <si>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</si>
  <si>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</si>
  <si>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</si>
  <si>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</si>
  <si>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</si>
  <si>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</si>
  <si>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</si>
  <si>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</si>
  <si>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</si>
  <si>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</si>
  <si>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</si>
  <si>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</si>
  <si>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</si>
  <si>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</si>
  <si>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</si>
  <si>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</si>
  <si>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</si>
  <si>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</si>
  <si>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</si>
  <si>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</si>
  <si>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</si>
  <si>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</si>
  <si>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</si>
  <si>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</si>
  <si>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</si>
  <si>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</si>
  <si>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</si>
  <si>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</si>
  <si>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</si>
  <si>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</si>
  <si>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</si>
  <si>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</si>
  <si>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</si>
  <si>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</si>
  <si>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</si>
  <si>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</si>
  <si>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</si>
  <si>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</si>
  <si>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</si>
  <si>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</si>
  <si>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</si>
  <si>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</si>
  <si>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</si>
  <si>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</si>
  <si>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</si>
  <si>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</si>
  <si>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</si>
  <si>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</si>
  <si>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</si>
  <si>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</si>
  <si>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</si>
  <si>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</si>
  <si>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</si>
  <si>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</si>
  <si>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</si>
  <si>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</si>
  <si>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</si>
  <si>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</si>
  <si>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</si>
  <si>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</si>
  <si>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</si>
  <si>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</si>
  <si>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</si>
  <si>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</si>
  <si>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</si>
  <si>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</si>
  <si>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</si>
  <si>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</si>
  <si>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</si>
  <si>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</si>
  <si>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</si>
  <si>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</si>
  <si>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</si>
  <si>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</si>
  <si>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</si>
  <si>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</si>
  <si>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</si>
  <si>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</si>
  <si>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</si>
  <si>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</si>
  <si>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</si>
  <si>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</si>
  <si>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</si>
  <si>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</si>
  <si>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</si>
  <si>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</si>
  <si>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</si>
  <si>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</si>
  <si>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</si>
  <si>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</si>
  <si>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</si>
  <si>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</si>
  <si>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</si>
  <si>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</si>
  <si>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</si>
  <si>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</si>
  <si>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</si>
  <si>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</si>
  <si>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</si>
  <si>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</si>
  <si>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</si>
  <si>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</si>
  <si>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</si>
  <si>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</si>
  <si>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</si>
  <si>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</si>
  <si>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</si>
  <si>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</si>
  <si>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</si>
  <si>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</si>
  <si>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</si>
  <si>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</si>
  <si>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</si>
  <si>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</si>
  <si>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</si>
  <si>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</si>
  <si>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</si>
  <si>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</si>
  <si>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</si>
  <si>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</si>
  <si>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</si>
  <si>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</si>
  <si>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</si>
  <si>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</si>
  <si>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</si>
  <si>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</si>
  <si>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</si>
  <si>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</si>
  <si>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</si>
  <si>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</si>
  <si>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</si>
  <si>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</si>
  <si>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</si>
  <si>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</si>
  <si>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</si>
  <si>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</si>
  <si>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</si>
  <si>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</si>
  <si>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</si>
  <si>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</si>
  <si>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</si>
  <si>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</si>
  <si>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</si>
  <si>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</si>
  <si>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</si>
  <si>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</si>
  <si>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</si>
  <si>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</si>
  <si>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</si>
  <si>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</si>
  <si>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</si>
  <si>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</si>
  <si>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</si>
  <si>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</si>
  <si>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</si>
  <si>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</si>
  <si>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</si>
  <si>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</si>
  <si>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</si>
  <si>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</si>
  <si>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</si>
  <si>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</si>
  <si>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</si>
  <si>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</si>
  <si>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</si>
  <si>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</si>
  <si>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</si>
  <si>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</si>
  <si>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</si>
  <si>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</si>
  <si>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</si>
  <si>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</si>
  <si>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</si>
  <si>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</si>
  <si>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</si>
  <si>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</si>
  <si>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</si>
  <si>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</si>
  <si>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</si>
  <si>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</si>
  <si>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</si>
  <si>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</si>
  <si>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</si>
  <si>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</si>
  <si>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</si>
  <si>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</si>
  <si>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</si>
  <si>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</si>
  <si>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</si>
  <si>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</si>
  <si>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</si>
  <si>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</si>
  <si>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</si>
  <si>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</si>
  <si>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</si>
  <si>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</si>
  <si>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</si>
  <si>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</si>
  <si>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</si>
  <si>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</si>
  <si>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</si>
  <si>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</si>
  <si>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</si>
  <si>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</si>
  <si>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</si>
  <si>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</si>
  <si>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</si>
  <si>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</si>
  <si>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</si>
  <si>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</si>
  <si>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</si>
  <si>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</si>
  <si>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</si>
  <si>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</si>
  <si>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</si>
  <si>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</si>
  <si>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</si>
  <si>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</si>
  <si>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</si>
  <si>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</si>
  <si>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</si>
  <si>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</si>
  <si>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</si>
  <si>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</si>
  <si>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</si>
  <si>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</si>
  <si>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</si>
  <si>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</si>
  <si>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</si>
  <si>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</si>
  <si>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</si>
  <si>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</si>
  <si>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</si>
  <si>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</si>
  <si>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</si>
  <si>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</si>
  <si>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</si>
  <si>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</si>
  <si>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</si>
  <si>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</si>
  <si>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</si>
  <si>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</si>
  <si>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</si>
  <si>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</si>
  <si>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</si>
  <si>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</si>
  <si>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</si>
  <si>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</si>
  <si>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</si>
  <si>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</si>
  <si>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</si>
  <si>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</si>
  <si>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</si>
  <si>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</si>
  <si>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</si>
  <si>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</si>
  <si>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</si>
  <si>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</si>
  <si>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</si>
  <si>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</si>
  <si>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</si>
  <si>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</si>
  <si>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</si>
  <si>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</si>
  <si>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</si>
  <si>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</si>
  <si>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</si>
  <si>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</si>
  <si>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</si>
  <si>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</si>
  <si>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</si>
  <si>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</si>
  <si>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</si>
  <si>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</si>
  <si>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</si>
  <si>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</si>
  <si>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</si>
  <si>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</si>
  <si>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</si>
  <si>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</si>
  <si>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</si>
  <si>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</si>
  <si>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</si>
  <si>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</si>
  <si>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</si>
  <si>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</si>
  <si>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</si>
  <si>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</si>
  <si>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</si>
  <si>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</si>
  <si>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</si>
  <si>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</si>
  <si>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</si>
  <si>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</si>
  <si>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</si>
  <si>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</si>
  <si>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</si>
  <si>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</si>
  <si>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</si>
  <si>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</si>
  <si>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</si>
  <si>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</si>
  <si>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</si>
  <si>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</si>
  <si>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</si>
  <si>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</si>
  <si>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</si>
  <si>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</si>
  <si>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</si>
  <si>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</si>
  <si>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</si>
  <si>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</si>
  <si>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</si>
  <si>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</si>
  <si>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</si>
  <si>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</si>
  <si>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</si>
  <si>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</si>
  <si>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</si>
  <si>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</si>
  <si>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</si>
  <si>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</si>
  <si>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</si>
  <si>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</si>
  <si>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</si>
  <si>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</si>
  <si>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</si>
  <si>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</si>
  <si>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</si>
  <si>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</si>
  <si>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</si>
  <si>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</si>
  <si>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</si>
  <si>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</si>
  <si>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</si>
  <si>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</si>
  <si>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</si>
  <si>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</si>
  <si>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</si>
  <si>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</si>
  <si>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</si>
  <si>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</si>
  <si>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</si>
  <si>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</si>
  <si>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</si>
  <si>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</si>
  <si>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</si>
  <si>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</si>
  <si>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</si>
  <si>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</si>
  <si>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</si>
  <si>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</si>
  <si>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</si>
  <si>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</si>
  <si>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</si>
  <si>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</si>
  <si>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</si>
  <si>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</si>
  <si>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</si>
  <si>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</si>
  <si>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</si>
  <si>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</si>
  <si>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</si>
  <si>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</si>
  <si>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</si>
  <si>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</si>
  <si>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</si>
  <si>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</si>
  <si>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</si>
  <si>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</si>
  <si>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</si>
  <si>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</si>
  <si>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</si>
  <si>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</si>
  <si>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</si>
  <si>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</si>
  <si>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</si>
  <si>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</si>
  <si>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</si>
  <si>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</si>
  <si>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</si>
  <si>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</si>
  <si>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</si>
  <si>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</si>
  <si>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</si>
  <si>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</si>
  <si>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</si>
  <si>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</si>
  <si>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</si>
  <si>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</si>
  <si>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</si>
  <si>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</si>
  <si>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</si>
  <si>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</si>
  <si>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</si>
  <si>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</si>
  <si>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</si>
  <si>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</si>
  <si>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</si>
  <si>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</si>
  <si>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</si>
  <si>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</si>
  <si>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</si>
  <si>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</si>
  <si>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</si>
  <si>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</si>
  <si>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</si>
  <si>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</si>
  <si>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</si>
  <si>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</si>
  <si>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</si>
  <si>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</si>
  <si>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</si>
  <si>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</si>
  <si>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</si>
  <si>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</si>
  <si>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</si>
  <si>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</si>
  <si>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</si>
  <si>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</si>
  <si>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</si>
  <si>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</si>
  <si>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</si>
  <si>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</si>
  <si>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</si>
  <si>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</si>
  <si>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</si>
  <si>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</si>
  <si>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</si>
  <si>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</si>
  <si>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</si>
  <si>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</si>
  <si>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</si>
  <si>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</si>
  <si>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</si>
  <si>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</si>
  <si>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</si>
  <si>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</si>
  <si>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</si>
  <si>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</si>
  <si>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</si>
  <si>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</si>
  <si>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</si>
  <si>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</si>
  <si>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</si>
  <si>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</si>
  <si>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</si>
  <si>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</si>
  <si>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</si>
  <si>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</si>
  <si>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</si>
  <si>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</si>
  <si>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</si>
  <si>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</si>
  <si>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</si>
  <si>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</si>
  <si>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</si>
  <si>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</si>
  <si>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</si>
  <si>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</si>
  <si>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</si>
  <si>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</si>
  <si>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</si>
  <si>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</si>
  <si>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</si>
  <si>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</si>
  <si>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</si>
  <si>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</si>
  <si>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</si>
  <si>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</si>
  <si>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</si>
  <si>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</si>
  <si>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</si>
  <si>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</si>
  <si>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</si>
  <si>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</si>
  <si>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</si>
  <si>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</si>
  <si>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</si>
  <si>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</si>
  <si>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</si>
  <si>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</si>
  <si>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</si>
  <si>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</si>
  <si>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</si>
  <si>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</si>
  <si>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</si>
  <si>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</si>
  <si>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</si>
  <si>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</si>
  <si>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</si>
  <si>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</si>
  <si>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</si>
  <si>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</si>
  <si>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</si>
  <si>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</si>
  <si>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</si>
  <si>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</si>
  <si>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</si>
  <si>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</si>
  <si>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</si>
  <si>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</si>
  <si>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</si>
  <si>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</si>
  <si>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</si>
  <si>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</si>
  <si>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</si>
  <si>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</si>
  <si>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</si>
  <si>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</si>
  <si>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</si>
  <si>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</si>
  <si>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</si>
  <si>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</si>
  <si>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</si>
  <si>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</si>
  <si>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</si>
  <si>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</si>
  <si>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</si>
  <si>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</si>
  <si>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</si>
  <si>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</si>
  <si>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</si>
  <si>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</si>
  <si>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</si>
  <si>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</si>
  <si>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</si>
  <si>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</si>
  <si>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</si>
  <si>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</si>
  <si>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</si>
  <si>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</si>
  <si>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</si>
  <si>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</si>
  <si>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</si>
  <si>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</si>
  <si>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</si>
  <si>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</si>
  <si>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</si>
  <si>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</si>
  <si>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</si>
  <si>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</si>
  <si>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</si>
  <si>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</si>
  <si>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</si>
  <si>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</si>
  <si>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</si>
  <si>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</si>
  <si>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</si>
  <si>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</si>
  <si>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</si>
  <si>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</si>
  <si>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</si>
  <si>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</si>
  <si>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</si>
  <si>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</si>
  <si>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</si>
  <si>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</si>
  <si>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</si>
  <si>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</si>
  <si>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</si>
  <si>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</si>
  <si>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</si>
  <si>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</si>
  <si>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</si>
  <si>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</si>
  <si>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</si>
  <si>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</si>
  <si>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</si>
  <si>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</si>
  <si>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</si>
  <si>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</si>
  <si>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</si>
  <si>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</si>
  <si>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</si>
  <si>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</si>
  <si>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</si>
  <si>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</si>
  <si>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</si>
  <si>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</si>
  <si>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</si>
  <si>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</si>
  <si>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</si>
  <si>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</si>
  <si>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</si>
  <si>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</si>
  <si>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</si>
  <si>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</si>
  <si>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</si>
  <si>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</si>
  <si>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</si>
  <si>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</si>
  <si>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</si>
  <si>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</si>
  <si>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</si>
  <si>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</si>
  <si>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</si>
  <si>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</si>
  <si>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</si>
  <si>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</si>
  <si>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</si>
  <si>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</si>
  <si>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</si>
  <si>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</si>
  <si>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</si>
  <si>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</si>
  <si>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</si>
  <si>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</si>
  <si>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</si>
  <si>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</si>
  <si>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</si>
  <si>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</si>
  <si>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</si>
  <si>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</si>
  <si>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</si>
  <si>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</si>
  <si>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</si>
  <si>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</si>
  <si>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</si>
  <si>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</si>
  <si>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</si>
  <si>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</si>
  <si>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</si>
  <si>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</si>
  <si>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</si>
  <si>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</si>
  <si>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</si>
  <si>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</si>
  <si>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</si>
  <si>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</si>
  <si>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</si>
  <si>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</si>
  <si>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</si>
  <si>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</si>
  <si>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</si>
  <si>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</si>
  <si>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</si>
  <si>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</si>
  <si>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</si>
  <si>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</si>
  <si>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</si>
  <si>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</si>
  <si>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</si>
  <si>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</si>
  <si>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</si>
  <si>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</si>
  <si>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</si>
  <si>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</si>
  <si>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</si>
  <si>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</si>
  <si>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</si>
  <si>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</si>
  <si>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</si>
  <si>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</si>
  <si>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</si>
  <si>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</si>
  <si>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</si>
  <si>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</si>
  <si>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</si>
  <si>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</si>
  <si>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</si>
  <si>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</si>
  <si>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</si>
  <si>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</si>
  <si>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</si>
  <si>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</si>
  <si>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</si>
  <si>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</si>
  <si>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</si>
  <si>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</si>
  <si>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</si>
  <si>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</si>
  <si>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</si>
  <si>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</si>
  <si>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</si>
  <si>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</si>
  <si>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</si>
  <si>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</si>
  <si>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</si>
  <si>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</si>
  <si>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</si>
  <si>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</si>
  <si>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</si>
  <si>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</si>
  <si>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</si>
  <si>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</si>
  <si>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</si>
  <si>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</si>
  <si>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</si>
  <si>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</si>
  <si>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</si>
  <si>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</si>
  <si>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</si>
  <si>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</si>
  <si>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</si>
  <si>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</si>
  <si>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</si>
  <si>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</si>
  <si>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</si>
  <si>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</si>
  <si>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</si>
  <si>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</si>
  <si>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</si>
  <si>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</si>
  <si>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</si>
  <si>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</si>
  <si>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</si>
  <si>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</si>
  <si>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</si>
  <si>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</si>
  <si>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</si>
  <si>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</si>
  <si>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</si>
  <si>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</si>
  <si>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</si>
  <si>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</si>
  <si>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</si>
  <si>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</si>
  <si>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</si>
  <si>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</si>
  <si>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</si>
  <si>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</si>
  <si>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</si>
  <si>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</si>
  <si>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</si>
  <si>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</si>
  <si>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</si>
  <si>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</si>
  <si>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</si>
  <si>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</si>
  <si>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</si>
  <si>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</si>
  <si>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</si>
  <si>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</si>
  <si>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</si>
  <si>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</si>
  <si>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</si>
  <si>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</si>
  <si>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</si>
  <si>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</si>
  <si>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</si>
  <si>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</si>
  <si>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</si>
  <si>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</si>
  <si>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</si>
  <si>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</si>
  <si>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</si>
  <si>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</si>
  <si>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</si>
  <si>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</si>
  <si>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</si>
  <si>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</si>
  <si>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</si>
  <si>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</si>
  <si>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</si>
  <si>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</si>
  <si>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</si>
  <si>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</si>
  <si>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</si>
  <si>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</si>
  <si>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</si>
  <si>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</si>
  <si>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</si>
  <si>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</si>
  <si>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</si>
  <si>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</si>
  <si>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</si>
  <si>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</si>
  <si>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</si>
  <si>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</si>
  <si>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</si>
  <si>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</si>
  <si>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</si>
  <si>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</si>
  <si>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</si>
  <si>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</si>
  <si>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</si>
  <si>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</si>
  <si>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</si>
  <si>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</si>
  <si>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</si>
  <si>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</si>
  <si>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</si>
  <si>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</si>
  <si>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</si>
  <si>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</si>
  <si>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</si>
  <si>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</si>
  <si>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</si>
  <si>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</si>
  <si>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</si>
  <si>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</si>
  <si>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</si>
  <si>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</si>
  <si>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</si>
  <si>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</si>
  <si>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</si>
  <si>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</si>
  <si>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</si>
  <si>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</si>
  <si>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</si>
  <si>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</si>
  <si>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</si>
  <si>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</si>
  <si>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</si>
  <si>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</si>
  <si>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</si>
  <si>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</si>
  <si>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</si>
  <si>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</si>
  <si>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</si>
  <si>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</si>
  <si>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</si>
  <si>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</si>
  <si>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</si>
  <si>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</si>
  <si>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</si>
  <si>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</si>
  <si>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</si>
  <si>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</si>
  <si>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</si>
  <si>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</si>
  <si>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</si>
  <si>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</si>
  <si>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</si>
  <si>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</si>
  <si>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</si>
  <si>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</si>
  <si>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</si>
  <si>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</si>
  <si>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</si>
  <si>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</si>
  <si>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</si>
  <si>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</si>
  <si>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</si>
  <si>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</si>
  <si>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</si>
  <si>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</si>
  <si>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</si>
  <si>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</si>
  <si>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</si>
  <si>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</si>
  <si>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</si>
  <si>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</si>
  <si>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</si>
  <si>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</si>
  <si>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</si>
  <si>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</si>
  <si>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</si>
  <si>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</si>
  <si>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</si>
  <si>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</si>
  <si>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</si>
  <si>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</si>
  <si>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</si>
  <si>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</si>
  <si>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</si>
  <si>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</si>
  <si>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</si>
  <si>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</si>
  <si>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</si>
  <si>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</si>
  <si>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</si>
  <si>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</si>
  <si>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</si>
  <si>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</si>
  <si>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</si>
  <si>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</si>
  <si>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</si>
  <si>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</si>
  <si>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</si>
  <si>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</si>
  <si>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</si>
  <si>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</si>
  <si>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</si>
  <si>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</si>
  <si>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</si>
  <si>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</si>
  <si>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</si>
  <si>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</si>
  <si>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</si>
  <si>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</si>
  <si>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</si>
  <si>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</si>
  <si>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</si>
  <si>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</si>
  <si>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</si>
  <si>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</si>
  <si>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</si>
  <si>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</si>
  <si>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</si>
  <si>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</si>
  <si>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</si>
  <si>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</si>
  <si>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</si>
  <si>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</si>
  <si>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</si>
  <si>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</si>
  <si>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</si>
  <si>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</si>
  <si>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</si>
  <si>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</si>
  <si>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</si>
  <si>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</si>
  <si>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</si>
  <si>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</si>
  <si>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</si>
  <si>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</si>
  <si>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</si>
  <si>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</si>
  <si>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</si>
  <si>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</si>
  <si>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</si>
  <si>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</si>
  <si>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</si>
  <si>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</si>
  <si>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</si>
  <si>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</si>
  <si>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</si>
  <si>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</si>
  <si>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</si>
  <si>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</si>
  <si>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</si>
  <si>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</si>
  <si>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</si>
  <si>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</si>
  <si>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</si>
  <si>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</si>
  <si>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</si>
  <si>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</si>
  <si>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</si>
  <si>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</si>
  <si>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</si>
  <si>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</si>
  <si>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</si>
  <si>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</si>
  <si>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</si>
  <si>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</si>
  <si>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</si>
  <si>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</si>
  <si>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</si>
  <si>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</si>
  <si>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</si>
  <si>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</si>
  <si>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</si>
  <si>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</si>
  <si>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</si>
  <si>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</si>
  <si>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</si>
  <si>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</si>
  <si>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</si>
  <si>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</si>
  <si>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</si>
  <si>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</si>
  <si>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</si>
  <si>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</si>
  <si>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</si>
  <si>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</si>
  <si>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</si>
  <si>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</si>
  <si>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</si>
  <si>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</si>
  <si>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</si>
  <si>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</si>
  <si>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</si>
  <si>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</si>
  <si>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</si>
  <si>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</si>
  <si>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</si>
  <si>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</si>
  <si>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</si>
  <si>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</si>
  <si>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</si>
  <si>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</si>
  <si>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</si>
  <si>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</si>
  <si>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</si>
  <si>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</si>
  <si>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</si>
  <si>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</si>
  <si>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</si>
  <si>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</si>
  <si>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</si>
  <si>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</si>
  <si>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</si>
  <si>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</si>
  <si>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</si>
  <si>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</si>
  <si>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</si>
  <si>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</si>
  <si>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</si>
  <si>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</si>
  <si>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</si>
  <si>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</si>
  <si>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</si>
  <si>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</si>
  <si>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</si>
  <si>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</si>
  <si>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</si>
  <si>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</si>
  <si>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</si>
  <si>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</si>
  <si>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</si>
  <si>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</si>
  <si>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</si>
  <si>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</si>
  <si>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</si>
  <si>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</si>
  <si>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</si>
  <si>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</si>
  <si>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</si>
  <si>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</si>
  <si>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</si>
  <si>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</si>
  <si>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</si>
  <si>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</si>
  <si>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</si>
  <si>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</si>
  <si>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</si>
  <si>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</si>
  <si>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</si>
  <si>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</si>
  <si>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</si>
  <si>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</si>
  <si>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</si>
  <si>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</si>
  <si>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</si>
  <si>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</si>
  <si>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</si>
  <si>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</si>
  <si>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</si>
  <si>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</si>
  <si>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</si>
  <si>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</si>
  <si>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</si>
  <si>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</si>
  <si>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</si>
  <si>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</si>
  <si>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</si>
  <si>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</si>
  <si>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</si>
  <si>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</si>
  <si>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</si>
  <si>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</si>
  <si>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</si>
  <si>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</si>
  <si>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</si>
  <si>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</si>
  <si>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</si>
  <si>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</si>
  <si>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</si>
  <si>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</si>
  <si>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</si>
  <si>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</si>
  <si>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</si>
  <si>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</si>
  <si>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</si>
  <si>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</si>
  <si>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</si>
  <si>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</si>
  <si>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</si>
  <si>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</si>
  <si>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</si>
  <si>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</si>
  <si>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</si>
  <si>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</si>
  <si>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</si>
  <si>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</si>
  <si>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</si>
  <si>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</si>
  <si>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</si>
  <si>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</si>
  <si>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</si>
  <si>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</si>
  <si>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</si>
  <si>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</si>
  <si>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</si>
  <si>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</si>
  <si>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</si>
  <si>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</si>
  <si>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</si>
  <si>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</si>
  <si>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</si>
  <si>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</si>
  <si>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</si>
  <si>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</si>
  <si>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</si>
  <si>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</si>
  <si>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</si>
  <si>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</si>
  <si>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</si>
  <si>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</si>
  <si>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</si>
  <si>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</si>
  <si>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</si>
  <si>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</si>
  <si>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</si>
  <si>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</si>
  <si>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</si>
  <si>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</si>
  <si>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</si>
  <si>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</si>
  <si>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</si>
  <si>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</si>
  <si>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</si>
  <si>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</si>
  <si>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</si>
  <si>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</si>
  <si>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</si>
  <si>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</si>
  <si>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</si>
  <si>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</si>
  <si>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</si>
  <si>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</si>
  <si>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</si>
  <si>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</si>
  <si>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</si>
  <si>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</si>
  <si>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</si>
  <si>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</si>
  <si>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</si>
  <si>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</si>
  <si>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</si>
  <si>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</si>
  <si>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</si>
  <si>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</si>
  <si>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</si>
  <si>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</si>
  <si>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</si>
  <si>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</si>
  <si>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</si>
  <si>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</si>
  <si>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</si>
  <si>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</si>
  <si>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</si>
  <si>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</si>
  <si>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</si>
  <si>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</si>
  <si>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</si>
  <si>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</si>
  <si>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</si>
  <si>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</si>
  <si>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</si>
  <si>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</si>
  <si>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</si>
  <si>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</si>
  <si>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</si>
  <si>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</si>
  <si>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</si>
  <si>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</si>
  <si>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</si>
  <si>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</si>
  <si>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</si>
  <si>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</si>
  <si>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</si>
  <si>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</si>
  <si>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</si>
  <si>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</si>
  <si>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</si>
  <si>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</si>
  <si>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</si>
  <si>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</si>
  <si>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</si>
  <si>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</si>
  <si>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</si>
  <si>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</si>
  <si>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</si>
  <si>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</si>
  <si>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</si>
  <si>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</si>
  <si>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</si>
  <si>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</si>
  <si>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</si>
  <si>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</si>
  <si>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</si>
  <si>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</si>
  <si>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</si>
  <si>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</si>
  <si>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</si>
  <si>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</si>
  <si>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</si>
  <si>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</si>
  <si>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</si>
  <si>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</si>
  <si>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</si>
  <si>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</si>
  <si>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</si>
  <si>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</si>
  <si>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</si>
  <si>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</si>
  <si>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</si>
  <si>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</si>
  <si>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</si>
  <si>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</si>
  <si>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</si>
  <si>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</si>
  <si>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</si>
  <si>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</si>
  <si>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</si>
  <si>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</si>
  <si>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</si>
  <si>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</si>
  <si>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</si>
  <si>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</si>
  <si>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</si>
  <si>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</si>
  <si>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</si>
  <si>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</si>
  <si>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</si>
  <si>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</si>
  <si>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</si>
  <si>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</si>
  <si>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</si>
  <si>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</si>
  <si>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</si>
  <si>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</si>
  <si>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</si>
  <si>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</si>
  <si>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</si>
  <si>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</si>
  <si>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</si>
  <si>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</si>
  <si>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</si>
  <si>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</si>
  <si>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</si>
  <si>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</si>
  <si>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</si>
  <si>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</si>
  <si>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</si>
  <si>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</si>
  <si>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</si>
  <si>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</si>
  <si>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</si>
  <si>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</si>
  <si>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</si>
  <si>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</si>
  <si>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</si>
  <si>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</si>
  <si>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</si>
  <si>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</si>
  <si>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</si>
  <si>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</si>
  <si>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</si>
  <si>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</si>
  <si>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</si>
  <si>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</si>
  <si>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</si>
  <si>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</si>
  <si>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</si>
  <si>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</si>
  <si>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</si>
  <si>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</si>
  <si>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</si>
  <si>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</si>
  <si>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</si>
  <si>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</si>
  <si>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</si>
  <si>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</si>
  <si>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</si>
  <si>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</si>
  <si>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</si>
  <si>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</si>
  <si>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</si>
  <si>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</si>
  <si>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</si>
  <si>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</si>
  <si>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</si>
  <si>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</si>
  <si>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</si>
  <si>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</si>
  <si>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</si>
  <si>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</si>
  <si>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</si>
  <si>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</si>
  <si>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</si>
  <si>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</si>
  <si>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</si>
  <si>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</si>
  <si>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</si>
  <si>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</si>
  <si>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</si>
  <si>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</si>
  <si>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</si>
  <si>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</si>
  <si>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</si>
  <si>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</si>
  <si>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</si>
  <si>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</si>
  <si>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</si>
  <si>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</si>
  <si>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</si>
  <si>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</si>
  <si>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</si>
  <si>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</si>
  <si>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</si>
  <si>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</si>
  <si>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</si>
  <si>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</si>
  <si>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</si>
  <si>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</si>
  <si>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</si>
  <si>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</si>
  <si>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</si>
  <si>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</si>
  <si>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</si>
  <si>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</si>
  <si>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</si>
  <si>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</si>
  <si>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</si>
  <si>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</si>
  <si>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</si>
  <si>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</si>
  <si>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</si>
  <si>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</si>
  <si>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</si>
  <si>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</si>
  <si>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</si>
  <si>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</si>
  <si>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</si>
  <si>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</si>
  <si>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</si>
  <si>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</si>
  <si>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</si>
  <si>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</si>
  <si>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</si>
  <si>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</si>
  <si>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</si>
  <si>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</si>
  <si>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</si>
  <si>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</si>
  <si>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</si>
  <si>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</si>
  <si>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</si>
  <si>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</si>
  <si>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</si>
  <si>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</si>
  <si>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</si>
  <si>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</si>
  <si>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</si>
  <si>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</si>
  <si>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</si>
  <si>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</si>
  <si>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</si>
  <si>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</si>
  <si>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</si>
  <si>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</si>
  <si>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</si>
  <si>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</si>
  <si>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</si>
  <si>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</si>
  <si>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</si>
  <si>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</si>
  <si>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</si>
  <si>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</si>
  <si>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</si>
  <si>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</si>
  <si>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</si>
  <si>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</si>
  <si>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</si>
  <si>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</si>
  <si>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</si>
  <si>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</si>
  <si>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</si>
  <si>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</si>
  <si>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</si>
  <si>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</si>
  <si>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</si>
  <si>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</si>
  <si>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</si>
  <si>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</si>
  <si>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</si>
  <si>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</si>
  <si>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</si>
  <si>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</si>
  <si>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</si>
  <si>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</si>
  <si>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</si>
  <si>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</si>
  <si>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</si>
  <si>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</si>
  <si>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</si>
  <si>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</si>
  <si>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</si>
  <si>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</si>
  <si>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</si>
  <si>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</si>
  <si>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</si>
  <si>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</si>
  <si>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</si>
  <si>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</si>
  <si>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</si>
  <si>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</si>
  <si>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</si>
  <si>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</si>
  <si>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</si>
  <si>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</si>
  <si>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</si>
  <si>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</si>
  <si>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</si>
  <si>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</si>
  <si>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</si>
  <si>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</si>
  <si>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</si>
  <si>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</si>
  <si>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</si>
  <si>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</si>
  <si>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</si>
  <si>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</si>
  <si>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</si>
  <si>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</si>
  <si>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</si>
  <si>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</si>
  <si>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</si>
  <si>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</si>
  <si>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</si>
  <si>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</si>
  <si>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</si>
  <si>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</si>
  <si>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</si>
  <si>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</si>
  <si>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</si>
  <si>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</si>
  <si>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</si>
  <si>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</si>
  <si>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</si>
  <si>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</si>
  <si>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</si>
  <si>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</si>
  <si>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</si>
  <si>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</si>
  <si>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</si>
  <si>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</si>
  <si>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</si>
  <si>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</si>
  <si>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</si>
  <si>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</si>
  <si>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</si>
  <si>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</si>
  <si>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</si>
  <si>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</si>
  <si>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</si>
  <si>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</si>
  <si>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</si>
  <si>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</si>
  <si>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</si>
  <si>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</si>
  <si>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</si>
  <si>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</si>
  <si>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</si>
  <si>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</si>
  <si>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</si>
  <si>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</si>
  <si>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</si>
  <si>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</si>
  <si>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</si>
  <si>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</si>
  <si>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</si>
  <si>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</si>
  <si>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</si>
  <si>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</si>
  <si>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</si>
  <si>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</si>
  <si>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</si>
  <si>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</si>
  <si>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</si>
  <si>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</si>
  <si>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</si>
  <si>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</si>
  <si>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</si>
  <si>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</si>
  <si>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</si>
  <si>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</si>
  <si>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</si>
  <si>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</si>
  <si>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</si>
  <si>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</si>
  <si>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</si>
  <si>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</si>
  <si>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</si>
  <si>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</si>
  <si>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</si>
  <si>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</si>
  <si>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</si>
  <si>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</si>
  <si>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</si>
  <si>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</si>
  <si>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</si>
  <si>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</si>
  <si>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</si>
  <si>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</si>
  <si>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</si>
  <si>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</si>
  <si>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</si>
  <si>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</si>
  <si>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</si>
  <si>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</si>
  <si>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</si>
  <si>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</si>
  <si>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</si>
  <si>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</si>
  <si>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</si>
  <si>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</si>
  <si>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</si>
  <si>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</si>
  <si>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</si>
  <si>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</si>
  <si>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</si>
  <si>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</si>
  <si>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</si>
  <si>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</si>
  <si>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</si>
  <si>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</si>
  <si>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</si>
  <si>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</si>
  <si>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</si>
  <si>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</si>
  <si>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</si>
  <si>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</si>
  <si>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</si>
  <si>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</si>
  <si>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</si>
  <si>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</si>
  <si>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</si>
  <si>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</si>
  <si>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</si>
  <si>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</si>
  <si>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</si>
  <si>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</si>
  <si>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</si>
  <si>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</si>
  <si>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</si>
  <si>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</si>
  <si>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</si>
  <si>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</si>
  <si>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</si>
  <si>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</si>
  <si>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</si>
  <si>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</si>
  <si>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</si>
  <si>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</si>
  <si>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</si>
  <si>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</si>
  <si>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</si>
  <si>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</si>
  <si>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</si>
  <si>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</si>
  <si>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</si>
  <si>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</si>
  <si>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</si>
  <si>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</si>
  <si>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</si>
  <si>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</si>
  <si>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</si>
  <si>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</si>
  <si>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</si>
  <si>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</si>
  <si>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</si>
  <si>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</si>
  <si>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</si>
  <si>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</si>
  <si>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</si>
  <si>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</si>
  <si>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</si>
  <si>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</si>
  <si>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</si>
  <si>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</si>
  <si>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</si>
  <si>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</si>
  <si>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</si>
  <si>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</si>
  <si>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</si>
  <si>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</si>
  <si>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</si>
  <si>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</si>
  <si>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</si>
  <si>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</si>
  <si>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</si>
  <si>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</si>
  <si>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</si>
  <si>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</si>
  <si>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</si>
  <si>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</si>
  <si>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</si>
  <si>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</si>
  <si>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</si>
  <si>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</si>
  <si>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</si>
  <si>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</si>
  <si>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</si>
  <si>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</si>
  <si>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</si>
  <si>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</si>
  <si>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</si>
  <si>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</si>
  <si>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</si>
  <si>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</si>
  <si>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</si>
  <si>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</si>
  <si>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</si>
  <si>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</si>
  <si>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</si>
  <si>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</si>
  <si>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</si>
  <si>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</si>
  <si>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</si>
  <si>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</si>
  <si>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</si>
  <si>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</si>
  <si>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</si>
  <si>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</si>
  <si>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</si>
  <si>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</si>
  <si>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</si>
  <si>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</si>
  <si>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</si>
  <si>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</si>
  <si>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</si>
  <si>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</si>
  <si>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</si>
  <si>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</si>
  <si>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</si>
  <si>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</si>
  <si>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</si>
  <si>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</si>
  <si>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</si>
  <si>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</si>
  <si>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</si>
  <si>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</si>
  <si>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</si>
  <si>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</si>
  <si>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</si>
  <si>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</si>
  <si>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</si>
  <si>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</si>
  <si>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</si>
  <si>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</si>
  <si>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</si>
  <si>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</si>
  <si>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</si>
  <si>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</si>
  <si>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</si>
  <si>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</si>
  <si>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</si>
  <si>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</si>
  <si>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</si>
  <si>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</si>
  <si>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</si>
  <si>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</si>
  <si>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</si>
  <si>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</si>
  <si>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</si>
  <si>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</si>
  <si>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</si>
  <si>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</si>
  <si>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</si>
  <si>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</si>
  <si>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</si>
  <si>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</si>
  <si>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</si>
  <si>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</si>
  <si>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</si>
  <si>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</si>
  <si>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</si>
  <si>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</si>
  <si>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</si>
  <si>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</si>
  <si>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</si>
  <si>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</si>
  <si>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</si>
  <si>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</si>
  <si>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</si>
  <si>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</si>
  <si>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</si>
  <si>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</si>
  <si>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</si>
  <si>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</si>
  <si>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</si>
  <si>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</si>
  <si>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</si>
  <si>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</si>
  <si>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</si>
  <si>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</si>
  <si>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</si>
  <si>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</si>
  <si>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</si>
  <si>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</si>
  <si>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</si>
  <si>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</si>
  <si>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</si>
  <si>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</si>
  <si>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</si>
  <si>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</si>
  <si>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</si>
  <si>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</si>
  <si>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</si>
  <si>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</si>
  <si>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</si>
  <si>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</si>
  <si>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</si>
  <si>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</si>
  <si>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</si>
  <si>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</si>
  <si>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</si>
  <si>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</si>
  <si>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</si>
  <si>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</si>
  <si>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</si>
  <si>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</si>
  <si>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</si>
  <si>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</si>
  <si>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</si>
  <si>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</si>
  <si>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</si>
  <si>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</si>
  <si>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</si>
  <si>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</si>
  <si>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</si>
  <si>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</si>
  <si>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</si>
  <si>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</si>
  <si>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</si>
  <si>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</si>
  <si>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</si>
  <si>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</si>
  <si>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</si>
  <si>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</si>
  <si>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</si>
  <si>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</si>
  <si>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</si>
  <si>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</si>
  <si>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</si>
  <si>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</si>
  <si>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</si>
  <si>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</si>
  <si>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</si>
  <si>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</si>
  <si>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</si>
  <si>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</si>
  <si>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</si>
  <si>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</si>
  <si>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</si>
  <si>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</si>
  <si>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</si>
  <si>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</si>
  <si>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</si>
  <si>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</si>
  <si>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</si>
  <si>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</si>
  <si>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</si>
  <si>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</si>
  <si>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</si>
  <si>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</si>
  <si>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</si>
  <si>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</si>
  <si>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</si>
  <si>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</si>
  <si>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</si>
  <si>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</si>
  <si>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</si>
  <si>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</si>
  <si>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</si>
  <si>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</si>
  <si>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</si>
  <si>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</si>
  <si>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</si>
  <si>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</si>
  <si>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</si>
  <si>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</si>
  <si>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</si>
  <si>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</si>
  <si>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</si>
  <si>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</si>
  <si>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</si>
  <si>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</si>
  <si>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</si>
  <si>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</si>
  <si>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</si>
  <si>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</si>
  <si>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</si>
  <si>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</si>
  <si>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</si>
  <si>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</si>
  <si>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</si>
  <si>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</si>
  <si>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</si>
  <si>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</si>
  <si>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</si>
  <si>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</si>
  <si>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</si>
  <si>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</si>
  <si>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</si>
  <si>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</si>
  <si>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</si>
  <si>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</si>
  <si>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</si>
  <si>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</si>
  <si>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</si>
  <si>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</si>
  <si>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</si>
  <si>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</si>
  <si>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</si>
  <si>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</si>
  <si>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</si>
  <si>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</si>
  <si>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</si>
  <si>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</si>
  <si>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</si>
  <si>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</si>
  <si>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</si>
  <si>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</si>
  <si>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</si>
  <si>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</si>
  <si>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</si>
  <si>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</si>
  <si>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</si>
  <si>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</si>
  <si>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</si>
  <si>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</si>
  <si>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</si>
  <si>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</si>
  <si>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</si>
  <si>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</si>
  <si>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</si>
  <si>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</si>
  <si>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</si>
  <si>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</si>
  <si>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</si>
  <si>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</si>
  <si>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</si>
  <si>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</si>
  <si>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</si>
  <si>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</si>
  <si>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</si>
  <si>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</si>
  <si>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</si>
  <si>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</si>
  <si>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</si>
  <si>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</si>
  <si>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</si>
  <si>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</si>
  <si>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</si>
  <si>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</si>
  <si>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</si>
  <si>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</si>
  <si>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</si>
  <si>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</si>
  <si>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</si>
  <si>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</si>
  <si>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</si>
  <si>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</si>
  <si>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</si>
  <si>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</si>
  <si>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</si>
  <si>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</si>
  <si>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</si>
  <si>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</si>
  <si>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</si>
  <si>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</si>
  <si>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</si>
  <si>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</si>
  <si>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</si>
  <si>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</si>
  <si>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</si>
  <si>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</si>
  <si>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</si>
  <si>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</si>
  <si>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</si>
  <si>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</si>
  <si>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</si>
  <si>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</si>
  <si>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</si>
  <si>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</si>
  <si>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</si>
  <si>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</si>
  <si>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</si>
  <si>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</si>
  <si>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</si>
  <si>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</si>
  <si>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</si>
  <si>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</si>
  <si>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</si>
  <si>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</si>
  <si>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</si>
  <si>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</si>
  <si>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</si>
  <si>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</si>
  <si>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</si>
  <si>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</si>
  <si>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</si>
  <si>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</si>
  <si>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</si>
  <si>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</si>
  <si>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</si>
  <si>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</si>
  <si>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</si>
  <si>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</si>
  <si>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</si>
  <si>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</si>
  <si>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</si>
  <si>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</si>
  <si>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</si>
  <si>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</si>
  <si>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</si>
  <si>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</si>
  <si>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</si>
  <si>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</si>
  <si>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</si>
  <si>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</si>
  <si>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</si>
  <si>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</si>
  <si>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</si>
  <si>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</si>
  <si>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</si>
  <si>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</si>
  <si>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</si>
  <si>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</si>
  <si>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</si>
  <si>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</si>
  <si>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</si>
  <si>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</si>
  <si>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</si>
  <si>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</si>
  <si>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</si>
  <si>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</si>
  <si>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</si>
  <si>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</si>
  <si>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</si>
  <si>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</si>
  <si>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</si>
  <si>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</si>
  <si>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</si>
  <si>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</si>
  <si>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</si>
  <si>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</si>
  <si>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</si>
  <si>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</si>
  <si>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</si>
  <si>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</si>
  <si>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</si>
  <si>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</si>
  <si>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</si>
  <si>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</si>
  <si>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</si>
  <si>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</si>
  <si>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</si>
  <si>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</si>
  <si>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</si>
  <si>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</si>
  <si>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</si>
  <si>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</si>
  <si>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</si>
  <si>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</si>
  <si>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</si>
  <si>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</si>
  <si>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</si>
  <si>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</si>
  <si>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</si>
  <si>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</si>
  <si>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</si>
  <si>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</si>
  <si>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</si>
  <si>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</si>
  <si>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</si>
  <si>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</si>
  <si>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</si>
  <si>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</si>
  <si>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</si>
  <si>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</si>
  <si>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</si>
  <si>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</si>
  <si>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</si>
  <si>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</si>
  <si>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</si>
  <si>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</si>
  <si>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</si>
  <si>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</si>
  <si>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</si>
  <si>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</si>
  <si>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</si>
  <si>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</si>
  <si>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</si>
  <si>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</si>
  <si>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</si>
  <si>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</si>
  <si>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</si>
  <si>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</si>
  <si>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</si>
  <si>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</si>
  <si>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</si>
  <si>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</si>
  <si>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</si>
  <si>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</si>
  <si>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</si>
  <si>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</si>
  <si>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</si>
  <si>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</si>
  <si>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</si>
  <si>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</si>
  <si>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</si>
  <si>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</si>
  <si>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</si>
  <si>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</si>
  <si>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</si>
  <si>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</si>
  <si>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</si>
  <si>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</si>
  <si>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</si>
  <si>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</si>
  <si>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</si>
  <si>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</si>
  <si>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</si>
  <si>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</si>
  <si>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</si>
  <si>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</si>
  <si>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</si>
  <si>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</si>
  <si>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</si>
  <si>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</si>
  <si>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</si>
  <si>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</si>
  <si>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</si>
  <si>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</si>
  <si>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</si>
  <si>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</si>
  <si>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</si>
  <si>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</si>
  <si>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</si>
  <si>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</si>
  <si>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</si>
  <si>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</si>
  <si>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</si>
  <si>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</si>
  <si>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</si>
  <si>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</si>
  <si>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</si>
  <si>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</si>
  <si>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</si>
  <si>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</si>
  <si>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</si>
  <si>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</si>
  <si>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</si>
  <si>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</si>
  <si>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</si>
  <si>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</si>
  <si>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</si>
  <si>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</si>
  <si>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</si>
  <si>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</si>
  <si>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</si>
  <si>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</si>
  <si>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</si>
  <si>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</si>
  <si>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</si>
  <si>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</si>
  <si>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</si>
  <si>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</si>
  <si>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</si>
  <si>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</si>
  <si>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</si>
  <si>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</si>
  <si>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</si>
  <si>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</si>
  <si>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</si>
  <si>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</si>
  <si>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</si>
  <si>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</si>
  <si>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</si>
  <si>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</si>
  <si>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</si>
  <si>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</si>
  <si>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</si>
  <si>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</si>
  <si>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</si>
  <si>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</si>
  <si>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</si>
  <si>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</si>
  <si>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</si>
  <si>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</si>
  <si>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</si>
  <si>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</si>
  <si>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</si>
  <si>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</si>
  <si>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</si>
  <si>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</si>
  <si>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</si>
  <si>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</si>
  <si>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</si>
  <si>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</si>
  <si>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</si>
  <si>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</si>
  <si>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</si>
  <si>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</si>
  <si>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</si>
  <si>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</si>
  <si>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</si>
  <si>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</si>
  <si>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</si>
  <si>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</si>
  <si>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</si>
  <si>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</si>
  <si>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</si>
  <si>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</si>
  <si>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</si>
  <si>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</si>
  <si>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</si>
  <si>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</si>
  <si>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</si>
  <si>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</si>
  <si>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</si>
  <si>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</si>
  <si>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</si>
  <si>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</si>
  <si>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</si>
  <si>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</si>
  <si>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</si>
  <si>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</si>
  <si>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</si>
  <si>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</si>
  <si>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</si>
  <si>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</si>
  <si>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</si>
  <si>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</si>
  <si>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</si>
  <si>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</si>
  <si>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</si>
  <si>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</si>
  <si>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</si>
  <si>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</si>
  <si>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</si>
  <si>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</si>
  <si>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</si>
  <si>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</si>
  <si>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</si>
  <si>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</si>
  <si>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</si>
  <si>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</si>
  <si>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</si>
  <si>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</si>
  <si>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</si>
  <si>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</si>
  <si>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</si>
  <si>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</si>
  <si>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</si>
  <si>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</si>
  <si>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</si>
  <si>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</si>
  <si>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</si>
  <si>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</si>
  <si>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</si>
  <si>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</si>
  <si>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</si>
  <si>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</si>
  <si>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</si>
  <si>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</si>
  <si>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</si>
  <si>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</si>
  <si>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</si>
  <si>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</si>
  <si>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</si>
  <si>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</si>
  <si>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</si>
  <si>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</si>
  <si>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</si>
  <si>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</si>
  <si>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</si>
  <si>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</si>
  <si>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</si>
  <si>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</si>
  <si>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</si>
  <si>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</si>
  <si>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</si>
  <si>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</si>
  <si>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</si>
  <si>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</si>
  <si>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</si>
  <si>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</si>
  <si>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</si>
  <si>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</si>
  <si>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</si>
  <si>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</si>
  <si>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</si>
  <si>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</si>
  <si>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</si>
  <si>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</si>
  <si>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</si>
  <si>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</si>
  <si>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</si>
  <si>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</si>
  <si>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</si>
  <si>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</si>
  <si>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</si>
  <si>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</si>
  <si>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</si>
  <si>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</si>
  <si>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</si>
  <si>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</si>
  <si>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</si>
  <si>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</si>
  <si>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</si>
  <si>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</si>
  <si>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</si>
  <si>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</si>
  <si>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</si>
  <si>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</si>
  <si>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</si>
  <si>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</si>
  <si>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</si>
  <si>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</si>
  <si>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</si>
  <si>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</si>
  <si>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</si>
  <si>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</si>
  <si>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</si>
  <si>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</si>
  <si>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</si>
  <si>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</si>
  <si>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</si>
  <si>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</si>
  <si>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</si>
  <si>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</si>
  <si>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</si>
  <si>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</si>
  <si>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</si>
  <si>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</si>
  <si>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</si>
  <si>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</si>
  <si>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</si>
  <si>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</si>
  <si>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</si>
  <si>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</si>
  <si>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</si>
  <si>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</si>
  <si>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</si>
  <si>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</si>
  <si>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</si>
  <si>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</si>
  <si>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</si>
  <si>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</si>
  <si>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</si>
  <si>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</si>
  <si>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</si>
  <si>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</si>
  <si>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</si>
  <si>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</si>
  <si>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</si>
  <si>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</si>
  <si>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</si>
  <si>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</si>
  <si>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</si>
  <si>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</si>
  <si>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</si>
  <si>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</si>
  <si>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</si>
  <si>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</si>
  <si>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</si>
  <si>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</si>
  <si>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</si>
  <si>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</si>
  <si>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</si>
  <si>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</si>
  <si>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</si>
  <si>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</si>
  <si>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</si>
  <si>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</si>
  <si>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</si>
  <si>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</si>
  <si>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</si>
  <si>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</si>
  <si>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</si>
  <si>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</si>
  <si>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</si>
  <si>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</si>
  <si>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</si>
  <si>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</si>
  <si>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</si>
  <si>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</si>
  <si>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</si>
  <si>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</si>
  <si>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</si>
  <si>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</si>
  <si>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</si>
  <si>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</si>
  <si>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</si>
  <si>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</si>
  <si>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</si>
  <si>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</si>
  <si>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</si>
  <si>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</si>
  <si>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</si>
  <si>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</si>
  <si>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</si>
  <si>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</si>
  <si>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</si>
  <si>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</si>
  <si>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</si>
  <si>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</si>
  <si>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</si>
  <si>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</si>
  <si>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</si>
  <si>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</si>
  <si>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</si>
  <si>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</si>
  <si>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</si>
  <si>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</si>
  <si>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</si>
  <si>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</si>
  <si>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</si>
  <si>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</si>
  <si>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</si>
  <si>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</si>
  <si>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</si>
  <si>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</si>
  <si>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</si>
  <si>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</si>
  <si>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</si>
  <si>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</si>
  <si>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</si>
  <si>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</si>
  <si>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</si>
  <si>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</si>
  <si>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</si>
  <si>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</si>
  <si>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</si>
  <si>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</si>
  <si>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</si>
  <si>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</si>
  <si>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</si>
  <si>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</si>
  <si>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</si>
  <si>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</si>
  <si>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</si>
  <si>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</si>
  <si>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</si>
  <si>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</si>
  <si>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</si>
  <si>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</si>
  <si>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</si>
  <si>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</si>
  <si>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</si>
  <si>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</si>
  <si>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</si>
  <si>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</si>
  <si>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</si>
  <si>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</si>
  <si>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</si>
  <si>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</si>
  <si>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</si>
  <si>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</si>
  <si>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</si>
  <si>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</si>
  <si>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</si>
  <si>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</si>
  <si>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</si>
  <si>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</si>
  <si>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</si>
  <si>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</si>
  <si>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</si>
  <si>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</si>
  <si>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</si>
  <si>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</si>
  <si>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</si>
  <si>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</si>
  <si>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</si>
  <si>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</si>
  <si>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</si>
  <si>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</si>
  <si>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</si>
  <si>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</si>
  <si>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</si>
  <si>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</si>
  <si>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</si>
  <si>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</si>
  <si>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</si>
  <si>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</si>
  <si>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</si>
  <si>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</si>
  <si>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</si>
  <si>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</si>
  <si>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</si>
  <si>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</si>
  <si>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</si>
  <si>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</si>
  <si>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</si>
  <si>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</si>
  <si>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</si>
  <si>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</si>
  <si>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</si>
  <si>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</si>
  <si>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</si>
  <si>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</si>
  <si>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</si>
  <si>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</si>
  <si>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</si>
  <si>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</si>
  <si>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</si>
  <si>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</si>
  <si>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</si>
  <si>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</si>
  <si>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</si>
  <si>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</si>
  <si>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</si>
  <si>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</si>
  <si>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</si>
  <si>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</si>
  <si>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</si>
  <si>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</si>
  <si>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</si>
  <si>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</si>
  <si>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</si>
  <si>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</si>
  <si>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</si>
  <si>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</si>
  <si>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</si>
  <si>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</si>
  <si>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</si>
  <si>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</si>
  <si>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</si>
  <si>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</si>
  <si>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</si>
  <si>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</si>
  <si>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</si>
  <si>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</si>
  <si>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</si>
  <si>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</si>
  <si>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</si>
  <si>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</si>
  <si>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</si>
  <si>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</si>
  <si>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</si>
  <si>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</si>
  <si>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</si>
  <si>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</si>
  <si>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</si>
  <si>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</si>
  <si>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</si>
  <si>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</si>
  <si>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</si>
  <si>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</si>
  <si>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</si>
  <si>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</si>
  <si>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</si>
  <si>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</si>
  <si>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</si>
  <si>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</si>
  <si>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</si>
  <si>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</si>
  <si>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</si>
  <si>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</si>
  <si>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</si>
  <si>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</si>
  <si>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</si>
  <si>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</si>
  <si>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</si>
  <si>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</si>
  <si>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</si>
  <si>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</si>
  <si>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</si>
  <si>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</si>
  <si>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</si>
  <si>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</si>
  <si>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</si>
  <si>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</si>
  <si>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</si>
  <si>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</si>
  <si>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</si>
  <si>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</si>
  <si>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</si>
  <si>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</si>
  <si>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</si>
  <si>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</si>
  <si>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</si>
  <si>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</si>
  <si>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</si>
  <si>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</si>
  <si>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</si>
  <si>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</si>
  <si>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</si>
  <si>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</si>
  <si>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</si>
  <si>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</si>
  <si>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</si>
  <si>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</si>
  <si>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</si>
  <si>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</si>
  <si>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</si>
  <si>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</si>
  <si>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</si>
  <si>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</si>
  <si>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</si>
  <si>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</si>
  <si>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</si>
  <si>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</si>
  <si>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</si>
  <si>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</si>
  <si>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</si>
  <si>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</si>
  <si>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</si>
  <si>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</si>
  <si>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</si>
  <si>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</si>
  <si>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</si>
  <si>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</si>
  <si>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</si>
  <si>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</si>
  <si>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</si>
  <si>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</si>
  <si>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</si>
  <si>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</si>
  <si>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</si>
  <si>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</si>
  <si>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</si>
  <si>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</si>
  <si>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</si>
  <si>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</si>
  <si>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</si>
  <si>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</si>
  <si>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</si>
  <si>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</si>
  <si>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</si>
  <si>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</si>
  <si>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</si>
  <si>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</si>
  <si>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</si>
  <si>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</si>
  <si>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</si>
  <si>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</si>
  <si>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</si>
  <si>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</si>
  <si>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</si>
  <si>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</si>
  <si>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</si>
  <si>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</si>
  <si>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</si>
  <si>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</si>
  <si>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</si>
  <si>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</si>
  <si>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</si>
  <si>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</si>
  <si>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</si>
  <si>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</si>
  <si>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</si>
  <si>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</si>
  <si>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</si>
  <si>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</si>
  <si>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</si>
  <si>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</si>
  <si>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</si>
  <si>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</si>
  <si>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</si>
  <si>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</si>
  <si>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</si>
  <si>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</si>
  <si>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</si>
  <si>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</si>
  <si>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</si>
  <si>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</si>
  <si>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</si>
  <si>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</si>
  <si>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</si>
  <si>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</si>
  <si>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</si>
  <si>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</si>
  <si>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</si>
  <si>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</si>
  <si>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</si>
  <si>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</si>
  <si>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</si>
  <si>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</si>
  <si>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</si>
  <si>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</si>
  <si>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</si>
  <si>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</si>
  <si>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</si>
  <si>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</si>
  <si>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</si>
  <si>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</si>
  <si>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</si>
  <si>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</si>
  <si>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</si>
  <si>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</si>
  <si>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</si>
  <si>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</si>
  <si>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</si>
  <si>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</si>
  <si>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</si>
  <si>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</si>
  <si>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</si>
  <si>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</si>
  <si>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</si>
  <si>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</si>
  <si>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</si>
  <si>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</si>
  <si>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</si>
  <si>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</si>
  <si>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</si>
  <si>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</si>
  <si>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</si>
  <si>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</si>
  <si>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</si>
  <si>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</si>
  <si>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</si>
  <si>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</si>
  <si>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</si>
  <si>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</si>
  <si>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</si>
  <si>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</si>
  <si>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</si>
  <si>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</si>
  <si>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</si>
  <si>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</si>
  <si>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</si>
  <si>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</si>
  <si>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</si>
  <si>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</si>
  <si>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</si>
  <si>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</si>
  <si>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</si>
  <si>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</si>
  <si>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</si>
  <si>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</si>
  <si>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</si>
  <si>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</si>
  <si>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</si>
  <si>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</si>
  <si>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</si>
  <si>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</si>
  <si>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</si>
  <si>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</si>
  <si>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</si>
  <si>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</si>
  <si>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</si>
  <si>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</si>
  <si>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</si>
  <si>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</si>
  <si>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</si>
  <si>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</si>
  <si>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</si>
  <si>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</si>
  <si>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</si>
  <si>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</si>
  <si>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</si>
  <si>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</si>
  <si>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</si>
  <si>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</si>
  <si>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</si>
  <si>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</si>
  <si>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</si>
  <si>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</si>
  <si>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</si>
  <si>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</si>
  <si>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</si>
  <si>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</si>
  <si>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</si>
  <si>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</si>
  <si>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</si>
  <si>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</si>
  <si>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</si>
  <si>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</si>
  <si>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</si>
  <si>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</si>
  <si>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</si>
  <si>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</si>
  <si>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</si>
  <si>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</si>
  <si>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</si>
  <si>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</si>
  <si>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</si>
  <si>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</si>
  <si>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</si>
  <si>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</si>
  <si>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</si>
  <si>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</si>
  <si>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</si>
  <si>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</si>
  <si>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</si>
  <si>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</si>
  <si>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</si>
  <si>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</si>
  <si>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</si>
  <si>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</si>
  <si>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</si>
  <si>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</si>
  <si>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</si>
  <si>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</si>
  <si>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</si>
  <si>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</si>
  <si>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</si>
  <si>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</si>
  <si>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</si>
  <si>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</si>
  <si>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</si>
  <si>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</si>
  <si>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</si>
  <si>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</si>
  <si>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</si>
  <si>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</si>
  <si>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</si>
  <si>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</si>
  <si>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</si>
  <si>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</si>
  <si>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</si>
  <si>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</si>
  <si>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</si>
  <si>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</si>
  <si>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</si>
  <si>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</si>
  <si>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</si>
  <si>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</si>
  <si>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</si>
  <si>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</si>
  <si>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</si>
  <si>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</si>
  <si>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</si>
  <si>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</si>
  <si>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</si>
  <si>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</si>
  <si>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</si>
  <si>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</si>
  <si>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</si>
  <si>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</si>
  <si>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</si>
  <si>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</si>
  <si>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</si>
  <si>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</si>
  <si>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</si>
  <si>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</si>
  <si>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</si>
  <si>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</si>
  <si>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</si>
  <si>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</si>
  <si>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</si>
  <si>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</si>
  <si>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</si>
  <si>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</si>
  <si>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</si>
  <si>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</si>
  <si>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</si>
  <si>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</si>
  <si>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</si>
  <si>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</si>
  <si>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</si>
  <si>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</si>
  <si>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</si>
  <si>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</si>
  <si>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</si>
  <si>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</si>
  <si>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</si>
  <si>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</si>
  <si>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</si>
  <si>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</si>
  <si>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</si>
  <si>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</si>
  <si>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</si>
  <si>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</si>
  <si>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</si>
  <si>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</si>
  <si>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</si>
  <si>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</si>
  <si>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</si>
  <si>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</si>
  <si>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</si>
  <si>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</si>
  <si>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</si>
  <si>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</si>
  <si>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</si>
  <si>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</si>
  <si>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</si>
  <si>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</si>
  <si>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</si>
  <si>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</si>
  <si>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</si>
  <si>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</si>
  <si>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</si>
  <si>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</si>
  <si>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</si>
  <si>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</si>
  <si>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</si>
  <si>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</si>
  <si>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</si>
  <si>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</si>
  <si>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</si>
  <si>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</si>
  <si>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</si>
  <si>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</si>
  <si>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</si>
  <si>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</si>
  <si>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</si>
  <si>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</si>
  <si>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</si>
  <si>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</si>
  <si>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</si>
  <si>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</si>
  <si>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</si>
  <si>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</si>
  <si>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</si>
  <si>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</si>
  <si>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</si>
  <si>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</si>
  <si>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</si>
  <si>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</si>
  <si>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</si>
  <si>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</si>
  <si>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</si>
  <si>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</si>
  <si>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</si>
  <si>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</si>
  <si>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</si>
  <si>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</si>
  <si>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</si>
  <si>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</si>
  <si>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</si>
  <si>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</si>
  <si>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</si>
  <si>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</si>
  <si>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</si>
  <si>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</si>
  <si>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</si>
  <si>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</si>
  <si>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</si>
  <si>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</si>
  <si>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</si>
  <si>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</si>
  <si>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</si>
  <si>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</si>
  <si>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</si>
  <si>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</si>
  <si>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</si>
  <si>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</si>
  <si>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</si>
  <si>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</si>
  <si>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</si>
  <si>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</si>
  <si>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</si>
  <si>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</si>
  <si>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</si>
  <si>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</si>
  <si>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</si>
  <si>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</si>
  <si>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</si>
  <si>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</si>
  <si>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</si>
  <si>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</si>
  <si>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</si>
  <si>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</si>
  <si>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</si>
  <si>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</si>
  <si>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</si>
  <si>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</si>
  <si>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</si>
  <si>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</si>
  <si>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</si>
  <si>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</si>
  <si>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</si>
  <si>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</si>
  <si>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</si>
  <si>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</si>
  <si>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</si>
  <si>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</si>
  <si>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</si>
  <si>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</si>
  <si>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</si>
  <si>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</si>
  <si>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</si>
  <si>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</si>
  <si>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</si>
  <si>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</si>
  <si>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</si>
  <si>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</si>
  <si>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</si>
  <si>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</si>
  <si>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</si>
  <si>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</si>
  <si>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</si>
  <si>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</si>
  <si>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</si>
  <si>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</si>
  <si>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</si>
  <si>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</si>
  <si>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</si>
  <si>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</si>
  <si>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</si>
  <si>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</si>
  <si>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</si>
  <si>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</si>
  <si>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</si>
  <si>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</si>
  <si>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</si>
  <si>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</si>
  <si>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</si>
  <si>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</si>
  <si>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</si>
  <si>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</si>
  <si>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</si>
  <si>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</si>
  <si>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</si>
  <si>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</si>
  <si>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</si>
  <si>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</si>
  <si>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</si>
  <si>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</si>
  <si>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</si>
  <si>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</si>
  <si>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</si>
  <si>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</si>
  <si>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</si>
  <si>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</si>
  <si>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</si>
  <si>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</si>
  <si>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</si>
  <si>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</si>
  <si>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</si>
  <si>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</si>
  <si>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</si>
  <si>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</si>
  <si>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</si>
  <si>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</si>
  <si>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</si>
  <si>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</si>
  <si>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</si>
  <si>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</si>
  <si>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</si>
  <si>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</si>
  <si>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</si>
  <si>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</si>
  <si>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</si>
  <si>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</si>
  <si>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</si>
  <si>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</si>
  <si>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</si>
  <si>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</si>
  <si>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</si>
  <si>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</si>
  <si>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</si>
  <si>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</si>
  <si>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</si>
  <si>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</si>
  <si>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</si>
  <si>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</si>
  <si>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</si>
  <si>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</si>
  <si>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</si>
  <si>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</si>
  <si>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</si>
  <si>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</si>
  <si>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</si>
  <si>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</si>
  <si>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</si>
  <si>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</si>
  <si>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</si>
  <si>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</si>
  <si>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</si>
  <si>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</si>
  <si>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</si>
  <si>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</si>
  <si>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</si>
  <si>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</si>
  <si>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</si>
  <si>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</si>
  <si>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</si>
  <si>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</si>
  <si>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</si>
  <si>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</si>
  <si>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</si>
  <si>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</si>
  <si>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</si>
  <si>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</si>
  <si>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</si>
  <si>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</si>
  <si>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</si>
  <si>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</si>
  <si>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</si>
  <si>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</si>
  <si>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</si>
  <si>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</si>
  <si>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</si>
  <si>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</si>
  <si>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</si>
  <si>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</si>
  <si>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</si>
  <si>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</si>
  <si>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</si>
  <si>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</si>
  <si>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</si>
  <si>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</si>
  <si>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</si>
  <si>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</si>
  <si>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</si>
  <si>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</si>
  <si>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</si>
  <si>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</si>
  <si>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</si>
  <si>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</si>
  <si>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</si>
  <si>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</si>
  <si>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</si>
  <si>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</si>
  <si>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</si>
  <si>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</si>
  <si>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</si>
  <si>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</si>
  <si>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</si>
  <si>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</si>
  <si>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</si>
  <si>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</si>
  <si>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</si>
  <si>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</si>
  <si>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</si>
  <si>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</si>
  <si>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</si>
  <si>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</si>
  <si>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</si>
  <si>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</si>
  <si>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</si>
  <si>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</si>
  <si>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</si>
  <si>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</si>
  <si>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</si>
  <si>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</si>
  <si>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</si>
  <si>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</si>
  <si>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</si>
  <si>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</si>
  <si>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</si>
  <si>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</si>
  <si>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</si>
  <si>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</si>
  <si>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</si>
  <si>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</si>
  <si>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</si>
  <si>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</si>
  <si>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</si>
  <si>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</si>
  <si>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</si>
  <si>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</si>
  <si>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</si>
  <si>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</si>
  <si>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</si>
  <si>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</si>
  <si>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</si>
  <si>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</si>
  <si>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</si>
  <si>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</si>
  <si>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</si>
  <si>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</si>
  <si>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</si>
  <si>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</si>
  <si>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</si>
  <si>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</si>
  <si>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</si>
  <si>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</si>
  <si>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</si>
  <si>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</si>
  <si>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</si>
  <si>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</si>
  <si>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</si>
  <si>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</si>
  <si>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</si>
  <si>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</si>
  <si>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</si>
  <si>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</si>
  <si>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</si>
  <si>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</si>
  <si>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</si>
  <si>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</si>
  <si>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</si>
  <si>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</si>
  <si>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</si>
  <si>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</si>
  <si>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</si>
  <si>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</si>
  <si>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</si>
  <si>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</si>
  <si>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</si>
  <si>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</si>
  <si>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</si>
  <si>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</si>
  <si>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</si>
  <si>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</si>
  <si>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</si>
  <si>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</si>
  <si>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</si>
  <si>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</si>
  <si>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</si>
  <si>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</si>
  <si>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</si>
  <si>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</si>
  <si>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</si>
  <si>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</si>
  <si>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</si>
  <si>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</si>
  <si>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</si>
  <si>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</si>
  <si>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</si>
  <si>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</si>
  <si>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</si>
  <si>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</si>
  <si>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</si>
  <si>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</si>
  <si>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</si>
  <si>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</si>
  <si>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</si>
  <si>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</si>
  <si>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</si>
  <si>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</si>
  <si>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</si>
  <si>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</si>
  <si>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</si>
  <si>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</si>
  <si>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</si>
  <si>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</si>
  <si>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</si>
  <si>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</si>
  <si>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</si>
  <si>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</si>
  <si>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</si>
  <si>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</si>
  <si>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</si>
  <si>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</si>
  <si>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</si>
  <si>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</si>
  <si>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</si>
  <si>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</si>
  <si>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</si>
  <si>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</si>
  <si>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</si>
  <si>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</si>
  <si>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</si>
  <si>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</si>
  <si>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</si>
  <si>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</si>
  <si>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</si>
  <si>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</si>
  <si>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</si>
  <si>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</si>
  <si>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</si>
  <si>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</si>
  <si>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</si>
  <si>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</si>
  <si>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</si>
  <si>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</si>
  <si>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</si>
  <si>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</si>
  <si>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</si>
  <si>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</si>
  <si>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</si>
  <si>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</si>
  <si>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</si>
  <si>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</si>
  <si>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</si>
  <si>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</si>
  <si>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</si>
  <si>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</si>
  <si>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</si>
  <si>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</si>
  <si>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</si>
  <si>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</si>
  <si>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</si>
  <si>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</si>
  <si>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</si>
  <si>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</si>
  <si>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</si>
  <si>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</si>
  <si>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</si>
  <si>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</si>
  <si>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</si>
  <si>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</si>
  <si>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</si>
  <si>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</si>
  <si>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</si>
  <si>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</si>
  <si>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</si>
  <si>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</si>
  <si>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</si>
  <si>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</si>
  <si>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</si>
  <si>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</si>
  <si>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</si>
  <si>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</si>
  <si>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</si>
  <si>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</si>
  <si>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</si>
  <si>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</si>
  <si>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</si>
  <si>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</si>
  <si>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</si>
  <si>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</si>
  <si>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</si>
  <si>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</si>
  <si>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</si>
  <si>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</si>
  <si>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</si>
  <si>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</si>
  <si>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</si>
  <si>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</si>
  <si>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</si>
  <si>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</si>
  <si>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</si>
  <si>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</si>
  <si>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</si>
  <si>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</si>
  <si>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</si>
  <si>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</si>
  <si>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</si>
  <si>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</si>
  <si>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</si>
  <si>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</si>
  <si>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</si>
  <si>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</si>
  <si>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</si>
  <si>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</si>
  <si>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</si>
  <si>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</si>
  <si>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</si>
  <si>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</si>
  <si>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</si>
  <si>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</si>
  <si>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</si>
  <si>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</si>
  <si>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</si>
  <si>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</si>
  <si>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</si>
  <si>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</si>
  <si>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</si>
  <si>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</si>
  <si>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</si>
  <si>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</si>
  <si>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</si>
  <si>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</si>
  <si>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</si>
  <si>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</si>
  <si>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</si>
  <si>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</si>
  <si>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</si>
  <si>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</si>
  <si>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</si>
  <si>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</si>
  <si>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</si>
  <si>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</si>
  <si>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</si>
  <si>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</si>
  <si>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</si>
  <si>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</si>
  <si>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</si>
  <si>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</si>
  <si>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</si>
  <si>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</si>
  <si>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</si>
  <si>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</si>
  <si>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</si>
  <si>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</si>
  <si>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</si>
  <si>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</si>
  <si>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</si>
  <si>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</si>
  <si>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</si>
  <si>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</si>
  <si>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</si>
  <si>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</si>
  <si>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</si>
  <si>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</si>
  <si>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</si>
  <si>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</si>
  <si>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</si>
  <si>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</si>
  <si>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</si>
  <si>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</si>
  <si>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</si>
  <si>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</si>
  <si>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</si>
  <si>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</si>
  <si>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</si>
  <si>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</si>
  <si>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</si>
  <si>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</si>
  <si>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</si>
  <si>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</si>
  <si>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</si>
  <si>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</si>
  <si>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</si>
  <si>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</si>
  <si>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</si>
  <si>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</si>
  <si>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</si>
  <si>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</si>
  <si>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</si>
  <si>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</si>
  <si>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</si>
  <si>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</si>
  <si>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</si>
  <si>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</si>
  <si>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</si>
  <si>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</si>
  <si>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</si>
  <si>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</si>
  <si>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</si>
  <si>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</si>
  <si>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</si>
  <si>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</si>
  <si>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</si>
  <si>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</si>
  <si>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</si>
  <si>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</si>
  <si>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</si>
  <si>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</si>
  <si>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</si>
  <si>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</si>
  <si>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</si>
  <si>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</si>
  <si>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</si>
  <si>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</si>
  <si>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</si>
  <si>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</si>
  <si>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</si>
  <si>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</si>
  <si>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</si>
  <si>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</si>
  <si>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</si>
  <si>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</si>
  <si>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</si>
  <si>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</si>
  <si>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</si>
  <si>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</si>
  <si>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</si>
  <si>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</si>
  <si>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</si>
  <si>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</si>
  <si>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</si>
  <si>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</si>
  <si>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</si>
  <si>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</si>
  <si>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</si>
  <si>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</si>
  <si>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</si>
  <si>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</si>
  <si>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</si>
  <si>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</si>
  <si>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</si>
  <si>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</si>
  <si>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</si>
  <si>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</si>
  <si>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</si>
  <si>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</si>
  <si>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</si>
  <si>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</si>
  <si>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</si>
  <si>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</si>
  <si>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</si>
  <si>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</si>
  <si>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</si>
  <si>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</si>
  <si>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</si>
  <si>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</si>
  <si>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</si>
  <si>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</si>
  <si>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</si>
  <si>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</si>
  <si>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</si>
  <si>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</si>
  <si>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</si>
  <si>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</si>
  <si>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</si>
  <si>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</si>
  <si>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</si>
  <si>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</si>
  <si>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</si>
  <si>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</si>
  <si>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</si>
  <si>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</si>
  <si>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</si>
  <si>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</si>
  <si>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</si>
  <si>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</si>
  <si>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</si>
  <si>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</si>
  <si>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</si>
  <si>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</si>
  <si>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</si>
  <si>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</si>
  <si>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</si>
  <si>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</si>
  <si>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</si>
  <si>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</si>
  <si>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</si>
  <si>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</si>
  <si>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</si>
  <si>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</si>
  <si>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</si>
  <si>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</si>
  <si>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</si>
  <si>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</si>
  <si>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</si>
  <si>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</si>
  <si>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</si>
  <si>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</si>
  <si>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</si>
  <si>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</si>
  <si>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</si>
  <si>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</si>
  <si>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</si>
  <si>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</si>
  <si>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</si>
  <si>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</si>
  <si>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</si>
  <si>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</si>
  <si>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</si>
  <si>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</si>
  <si>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</si>
  <si>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</si>
  <si>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</si>
  <si>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</si>
  <si>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</si>
  <si>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</si>
  <si>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</si>
  <si>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</si>
  <si>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</si>
  <si>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</si>
  <si>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</si>
  <si>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</si>
  <si>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</si>
  <si>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</si>
  <si>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</si>
  <si>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</si>
  <si>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</si>
  <si>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</si>
  <si>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</si>
  <si>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</si>
  <si>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</si>
  <si>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</si>
  <si>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</si>
  <si>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</si>
  <si>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</si>
  <si>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</si>
  <si>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</si>
  <si>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</si>
  <si>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</si>
  <si>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</si>
  <si>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</si>
  <si>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</si>
  <si>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</si>
  <si>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</si>
  <si>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</si>
  <si>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</si>
  <si>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</si>
  <si>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</si>
  <si>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</si>
  <si>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</si>
  <si>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</si>
  <si>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</si>
  <si>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</si>
  <si>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</si>
  <si>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</si>
  <si>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</si>
  <si>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</si>
  <si>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</si>
  <si>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</si>
  <si>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</si>
  <si>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</si>
  <si>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</si>
  <si>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</si>
  <si>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</si>
  <si>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</si>
  <si>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</si>
  <si>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</si>
  <si>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</si>
  <si>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</si>
  <si>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</si>
  <si>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</si>
  <si>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</si>
  <si>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</si>
  <si>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</si>
  <si>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</si>
  <si>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</si>
  <si>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</si>
  <si>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</si>
  <si>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</si>
  <si>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</si>
  <si>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</si>
  <si>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</si>
  <si>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</si>
  <si>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</si>
  <si>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</si>
  <si>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</si>
  <si>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</si>
  <si>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</si>
  <si>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</si>
  <si>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</si>
  <si>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</si>
  <si>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</si>
  <si>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</si>
  <si>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</si>
  <si>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</si>
  <si>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</si>
  <si>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</si>
  <si>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</si>
  <si>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</si>
  <si>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</si>
  <si>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</si>
  <si>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</si>
  <si>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</si>
  <si>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</si>
  <si>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</si>
  <si>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</si>
  <si>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</si>
  <si>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</si>
  <si>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</si>
  <si>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</si>
  <si>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</si>
  <si>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</si>
  <si>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</si>
  <si>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</si>
  <si>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</si>
  <si>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</si>
  <si>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</si>
  <si>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</si>
  <si>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</si>
  <si>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</si>
  <si>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</si>
  <si>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</si>
  <si>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</si>
  <si>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</si>
  <si>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</si>
  <si>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</si>
  <si>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</si>
  <si>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</si>
  <si>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</si>
  <si>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</si>
  <si>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</si>
  <si>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</si>
  <si>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</si>
  <si>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</si>
  <si>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</si>
  <si>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</si>
  <si>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</si>
  <si>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</si>
  <si>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</si>
  <si>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</si>
  <si>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</si>
  <si>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</si>
  <si>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</si>
  <si>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</si>
  <si>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</si>
  <si>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</si>
  <si>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</si>
  <si>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</si>
  <si>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</si>
  <si>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</si>
  <si>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</si>
  <si>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</si>
  <si>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</si>
  <si>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</si>
  <si>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</si>
  <si>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</si>
  <si>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</si>
  <si>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</si>
  <si>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</si>
  <si>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</si>
  <si>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</si>
  <si>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</si>
  <si>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</si>
  <si>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</si>
  <si>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</si>
  <si>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</si>
  <si>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</si>
  <si>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</si>
  <si>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</si>
  <si>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</si>
  <si>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</si>
  <si>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</si>
  <si>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</si>
  <si>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</si>
  <si>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</si>
  <si>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</si>
  <si>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</si>
  <si>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</si>
  <si>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</si>
  <si>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</si>
  <si>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</si>
  <si>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</si>
  <si>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</si>
  <si>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</si>
  <si>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</si>
  <si>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</si>
  <si>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</si>
  <si>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</si>
  <si>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</si>
  <si>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</si>
  <si>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</si>
  <si>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</si>
  <si>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</si>
  <si>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</si>
  <si>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</si>
  <si>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</si>
  <si>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</si>
  <si>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</si>
  <si>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</si>
  <si>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</si>
  <si>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</si>
  <si>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</si>
  <si>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</si>
  <si>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</si>
  <si>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</si>
  <si>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</si>
  <si>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</si>
  <si>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</si>
  <si>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</si>
  <si>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</si>
  <si>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</si>
  <si>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</si>
  <si>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</si>
  <si>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</si>
  <si>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</si>
  <si>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</si>
  <si>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</si>
  <si>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</si>
  <si>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</si>
  <si>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</si>
  <si>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</si>
  <si>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</si>
  <si>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</si>
  <si>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</si>
  <si>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</si>
  <si>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</si>
  <si>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</si>
  <si>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</si>
  <si>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</si>
  <si>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</si>
  <si>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</si>
  <si>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</si>
  <si>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</si>
  <si>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</si>
  <si>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</si>
  <si>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</si>
  <si>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</si>
  <si>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</si>
  <si>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</si>
  <si>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</si>
  <si>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</si>
  <si>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</si>
  <si>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</si>
  <si>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</si>
  <si>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</si>
  <si>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</si>
  <si>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</si>
  <si>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</si>
  <si>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</si>
  <si>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</si>
  <si>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</si>
  <si>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</si>
  <si>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</si>
  <si>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</si>
  <si>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</si>
  <si>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</si>
  <si>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</si>
  <si>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</si>
  <si>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</si>
  <si>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</si>
  <si>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</si>
  <si>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</si>
  <si>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</si>
  <si>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</si>
  <si>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</si>
  <si>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</si>
  <si>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</si>
  <si>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</si>
  <si>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</si>
  <si>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</si>
  <si>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</si>
  <si>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</si>
  <si>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</si>
  <si>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</si>
  <si>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</si>
  <si>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</si>
  <si>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</si>
  <si>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</si>
  <si>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</si>
  <si>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</si>
  <si>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</si>
  <si>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</si>
  <si>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</si>
  <si>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</si>
  <si>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</si>
  <si>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</si>
  <si>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</si>
  <si>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</si>
  <si>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</si>
  <si>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</si>
  <si>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</si>
  <si>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</si>
  <si>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</si>
  <si>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</si>
  <si>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</si>
  <si>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</si>
  <si>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</si>
  <si>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</si>
  <si>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</si>
  <si>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</si>
  <si>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</si>
  <si>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</si>
  <si>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</si>
  <si>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</si>
  <si>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</si>
  <si>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</si>
  <si>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</si>
  <si>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</si>
  <si>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</si>
  <si>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</si>
  <si>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</si>
  <si>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</si>
  <si>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</si>
  <si>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</si>
  <si>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</si>
  <si>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</si>
  <si>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</si>
  <si>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</si>
  <si>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</si>
  <si>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</si>
  <si>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</si>
  <si>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</si>
  <si>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</si>
  <si>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</si>
  <si>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</si>
  <si>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</si>
  <si>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</si>
  <si>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</si>
  <si>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</si>
  <si>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</si>
  <si>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</si>
  <si>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</si>
  <si>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</si>
  <si>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</si>
  <si>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</si>
  <si>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</si>
  <si>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</si>
  <si>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</si>
  <si>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</si>
  <si>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</si>
  <si>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</si>
  <si>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</si>
  <si>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</si>
  <si>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</si>
  <si>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</si>
  <si>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</si>
  <si>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</si>
  <si>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</si>
  <si>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</si>
  <si>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</si>
  <si>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</si>
  <si>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</si>
  <si>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</si>
  <si>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</si>
  <si>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</si>
  <si>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</si>
  <si>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</si>
  <si>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</si>
  <si>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</si>
  <si>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</si>
  <si>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</si>
  <si>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</si>
  <si>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</si>
  <si>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</si>
  <si>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</si>
  <si>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</si>
  <si>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</si>
  <si>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</si>
  <si>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</si>
  <si>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</si>
  <si>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</si>
  <si>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</si>
  <si>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</si>
  <si>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</si>
  <si>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</si>
  <si>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</si>
  <si>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</si>
  <si>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</si>
  <si>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</si>
  <si>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</si>
  <si>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</si>
  <si>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</si>
  <si>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</si>
  <si>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</si>
  <si>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</si>
  <si>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</si>
  <si>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</si>
  <si>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</si>
  <si>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</si>
  <si>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</si>
  <si>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</si>
  <si>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</si>
  <si>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</si>
  <si>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</si>
  <si>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</si>
  <si>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</si>
  <si>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</si>
  <si>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</si>
  <si>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</si>
  <si>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</si>
  <si>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</si>
  <si>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</si>
  <si>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</si>
  <si>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</si>
  <si>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</si>
  <si>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</si>
  <si>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</si>
  <si>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</si>
  <si>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</si>
  <si>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</si>
  <si>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</si>
  <si>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</si>
  <si>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</si>
  <si>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</si>
  <si>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</si>
  <si>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</si>
  <si>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</si>
  <si>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</si>
  <si>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</si>
  <si>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</si>
  <si>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</si>
  <si>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</si>
  <si>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</si>
  <si>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</si>
  <si>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</si>
  <si>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</si>
  <si>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</si>
  <si>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</si>
  <si>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</si>
  <si>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</si>
  <si>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</si>
  <si>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</si>
  <si>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</si>
  <si>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</si>
  <si>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</si>
  <si>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</si>
  <si>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</si>
  <si>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</si>
  <si>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</si>
  <si>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</si>
  <si>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</si>
  <si>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</si>
  <si>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</si>
  <si>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</si>
  <si>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</si>
  <si>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</si>
  <si>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</si>
  <si>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</si>
  <si>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</si>
  <si>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</si>
  <si>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</si>
  <si>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</si>
  <si>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</si>
  <si>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</si>
  <si>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</si>
  <si>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</si>
  <si>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</si>
  <si>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</si>
  <si>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</si>
  <si>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</si>
  <si>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</si>
  <si>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</si>
  <si>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</si>
  <si>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</si>
  <si>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</si>
  <si>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</si>
  <si>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</si>
  <si>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</si>
  <si>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</si>
  <si>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</si>
  <si>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</si>
  <si>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</si>
  <si>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</si>
  <si>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</si>
  <si>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</si>
  <si>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</si>
  <si>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</si>
  <si>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</si>
  <si>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</si>
  <si>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</si>
  <si>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</si>
  <si>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</si>
  <si>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</si>
  <si>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</si>
  <si>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</si>
  <si>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</si>
  <si>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</si>
  <si>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</si>
  <si>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</si>
  <si>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</si>
  <si>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</si>
  <si>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</si>
  <si>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</si>
  <si>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</si>
  <si>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</si>
  <si>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</si>
  <si>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</si>
  <si>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</si>
  <si>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</si>
  <si>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</si>
  <si>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</si>
  <si>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</si>
  <si>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</si>
  <si>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</si>
  <si>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</si>
  <si>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</si>
  <si>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</si>
  <si>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</si>
  <si>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</si>
  <si>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</si>
  <si>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</si>
  <si>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</si>
  <si>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</si>
  <si>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</si>
  <si>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</si>
  <si>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</si>
  <si>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</si>
  <si>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</si>
  <si>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</si>
  <si>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</si>
  <si>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</si>
  <si>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</si>
  <si>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</si>
  <si>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</si>
  <si>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</si>
  <si>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</si>
  <si>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</si>
  <si>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</si>
  <si>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</si>
  <si>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</si>
  <si>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</si>
  <si>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</si>
  <si>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</si>
  <si>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</si>
  <si>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</si>
  <si>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</si>
  <si>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</si>
  <si>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</si>
  <si>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</si>
  <si>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</si>
  <si>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</si>
  <si>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</si>
  <si>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</si>
  <si>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</si>
  <si>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</si>
  <si>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</si>
  <si>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</si>
  <si>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</si>
  <si>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</si>
  <si>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</si>
  <si>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</si>
  <si>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</si>
  <si>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</si>
  <si>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</si>
  <si>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</si>
  <si>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</si>
  <si>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</si>
  <si>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</si>
  <si>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</si>
  <si>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</si>
  <si>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</si>
  <si>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</si>
  <si>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</si>
  <si>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</si>
  <si>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</si>
  <si>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</si>
  <si>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</si>
  <si>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</si>
  <si>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</si>
  <si>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</si>
  <si>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</si>
  <si>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</si>
  <si>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</si>
  <si>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</si>
  <si>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</si>
  <si>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</si>
  <si>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</si>
  <si>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</si>
  <si>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</si>
  <si>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</si>
  <si>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</si>
  <si>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</si>
  <si>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</si>
  <si>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</si>
  <si>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</si>
  <si>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</si>
  <si>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</si>
  <si>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</si>
  <si>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</si>
  <si>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</si>
  <si>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</si>
  <si>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</si>
  <si>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</si>
  <si>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</si>
  <si>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</si>
  <si>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</si>
  <si>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</si>
  <si>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</si>
  <si>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</si>
  <si>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</si>
  <si>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</si>
  <si>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</si>
  <si>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</si>
  <si>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</si>
  <si>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</si>
  <si>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</si>
  <si>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</si>
  <si>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</si>
  <si>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</si>
  <si>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</si>
  <si>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</si>
  <si>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</si>
  <si>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</si>
  <si>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</si>
  <si>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</si>
  <si>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</si>
  <si>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</si>
  <si>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</si>
  <si>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</si>
  <si>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</si>
  <si>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</si>
  <si>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</si>
  <si>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</si>
  <si>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</si>
  <si>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</si>
  <si>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</si>
  <si>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</si>
  <si>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</si>
  <si>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</si>
  <si>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</si>
  <si>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</si>
  <si>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</si>
  <si>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</si>
  <si>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</si>
  <si>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</si>
  <si>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</si>
  <si>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</si>
  <si>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</si>
  <si>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</si>
  <si>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</si>
  <si>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</si>
  <si>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</si>
  <si>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</si>
  <si>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</si>
  <si>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</si>
  <si>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</si>
  <si>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</si>
  <si>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</si>
  <si>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</si>
  <si>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</si>
  <si>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</si>
  <si>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</si>
  <si>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</si>
  <si>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</si>
  <si>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</si>
  <si>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</si>
  <si>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</si>
  <si>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</si>
  <si>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</si>
  <si>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</si>
  <si>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</si>
  <si>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</si>
  <si>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</si>
  <si>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</si>
  <si>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</si>
  <si>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</si>
  <si>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</si>
  <si>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</si>
  <si>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</si>
  <si>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</si>
  <si>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</si>
  <si>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</si>
  <si>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</si>
  <si>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</si>
  <si>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</si>
  <si>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</si>
  <si>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</si>
  <si>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</si>
  <si>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</si>
  <si>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</si>
  <si>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</si>
  <si>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</si>
  <si>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</si>
  <si>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</si>
  <si>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</si>
  <si>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</si>
  <si>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</si>
  <si>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</si>
  <si>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</si>
  <si>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</si>
  <si>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</si>
  <si>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</si>
  <si>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</si>
  <si>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</si>
  <si>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</si>
  <si>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</si>
  <si>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</si>
  <si>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</si>
  <si>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</si>
  <si>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</si>
  <si>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</si>
  <si>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</si>
  <si>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</si>
  <si>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</si>
  <si>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</si>
  <si>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</si>
  <si>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</si>
  <si>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</si>
  <si>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</si>
  <si>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</si>
  <si>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</si>
  <si>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</si>
  <si>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</si>
  <si>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</si>
  <si>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</si>
  <si>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</si>
  <si>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</si>
  <si>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</si>
  <si>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</si>
  <si>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</si>
  <si>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</si>
  <si>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</si>
  <si>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</si>
  <si>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</si>
  <si>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</si>
  <si>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</si>
  <si>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</si>
  <si>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</si>
  <si>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</si>
  <si>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</si>
  <si>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</si>
  <si>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</si>
  <si>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</si>
  <si>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</si>
  <si>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</si>
  <si>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</si>
  <si>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</si>
  <si>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</si>
  <si>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</si>
  <si>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</si>
  <si>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</si>
  <si>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</si>
  <si>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</si>
  <si>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</si>
  <si>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</si>
  <si>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</si>
  <si>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</si>
  <si>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</si>
  <si>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</si>
  <si>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</si>
  <si>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</si>
  <si>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</si>
  <si>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</si>
  <si>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</si>
  <si>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</si>
  <si>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</si>
  <si>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</si>
  <si>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</si>
  <si>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</si>
  <si>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</si>
  <si>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</si>
  <si>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</si>
  <si>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</si>
  <si>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</si>
  <si>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</si>
  <si>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</si>
  <si>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</si>
  <si>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</si>
  <si>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</si>
  <si>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</si>
  <si>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</si>
  <si>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</si>
  <si>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</si>
  <si>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</si>
  <si>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</si>
  <si>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</si>
  <si>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</si>
  <si>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</si>
  <si>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</si>
  <si>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</si>
  <si>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</si>
  <si>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</si>
  <si>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</si>
  <si>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</si>
  <si>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</si>
  <si>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</si>
  <si>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</si>
  <si>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</si>
  <si>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</si>
  <si>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</si>
  <si>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</si>
  <si>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</si>
  <si>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</si>
  <si>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</si>
  <si>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</si>
  <si>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</si>
  <si>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</si>
  <si>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</si>
  <si>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</si>
  <si>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</si>
  <si>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</si>
  <si>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</si>
  <si>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</si>
  <si>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</si>
  <si>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</si>
  <si>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</si>
  <si>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</si>
  <si>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</si>
  <si>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</si>
  <si>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</si>
  <si>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</si>
  <si>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</si>
  <si>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</si>
  <si>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</si>
  <si>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</si>
  <si>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</si>
  <si>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</si>
  <si>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</si>
  <si>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</si>
  <si>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</si>
  <si>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</si>
  <si>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</si>
  <si>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</si>
  <si>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</si>
  <si>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</si>
  <si>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</si>
  <si>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</si>
  <si>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</si>
  <si>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</si>
  <si>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</si>
  <si>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</si>
  <si>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</si>
  <si>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</si>
  <si>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</si>
  <si>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</si>
  <si>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</si>
  <si>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</si>
  <si>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</si>
  <si>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</si>
  <si>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</si>
  <si>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</si>
  <si>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</si>
  <si>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</si>
  <si>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</si>
  <si>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</si>
  <si>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</si>
  <si>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</si>
  <si>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</si>
  <si>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</si>
  <si>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</si>
  <si>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</si>
  <si>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</si>
  <si>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</si>
  <si>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</si>
  <si>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</si>
  <si>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</si>
  <si>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</si>
  <si>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</si>
  <si>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</si>
  <si>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</si>
  <si>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</si>
  <si>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</si>
  <si>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</si>
  <si>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</si>
  <si>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</si>
  <si>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</si>
  <si>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</si>
  <si>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</si>
  <si>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</si>
  <si>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</si>
  <si>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</si>
  <si>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</si>
  <si>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</si>
  <si>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</si>
  <si>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</si>
  <si>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</si>
  <si>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</si>
  <si>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</si>
  <si>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</si>
  <si>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</si>
  <si>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</si>
  <si>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</si>
  <si>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</si>
  <si>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</si>
  <si>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</si>
  <si>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</si>
  <si>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</si>
  <si>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</si>
  <si>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</si>
  <si>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</si>
  <si>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</si>
  <si>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</si>
  <si>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</si>
  <si>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</si>
  <si>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</si>
  <si>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</si>
  <si>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</si>
  <si>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</si>
  <si>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</si>
  <si>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</si>
  <si>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</si>
  <si>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</si>
  <si>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</si>
  <si>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</si>
  <si>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</si>
  <si>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</si>
  <si>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</si>
  <si>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</si>
  <si>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</si>
  <si>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</si>
  <si>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</si>
  <si>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</si>
  <si>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</si>
  <si>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</si>
  <si>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</si>
  <si>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</si>
  <si>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</si>
  <si>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</si>
  <si>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</si>
  <si>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</si>
  <si>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</si>
  <si>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</si>
  <si>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</si>
  <si>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</si>
  <si>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</si>
  <si>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</si>
  <si>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</si>
  <si>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</si>
  <si>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</si>
  <si>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</si>
  <si>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</si>
  <si>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</si>
  <si>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</si>
  <si>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</si>
  <si>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</si>
  <si>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</si>
  <si>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</si>
  <si>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</si>
  <si>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</si>
  <si>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</si>
  <si>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</si>
  <si>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</si>
  <si>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</si>
  <si>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</si>
  <si>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</si>
  <si>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</si>
  <si>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</si>
  <si>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</si>
  <si>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</si>
  <si>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</si>
  <si>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</si>
  <si>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</si>
  <si>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</si>
  <si>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</si>
  <si>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</si>
  <si>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</si>
  <si>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</si>
  <si>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</si>
  <si>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</si>
  <si>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</si>
  <si>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</si>
  <si>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</si>
  <si>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</si>
  <si>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</si>
  <si>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</si>
  <si>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</si>
  <si>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</si>
  <si>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</si>
  <si>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</si>
  <si>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</si>
  <si>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</si>
  <si>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</si>
  <si>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</si>
  <si>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</si>
  <si>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</si>
  <si>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</si>
  <si>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</si>
  <si>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</si>
  <si>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</si>
  <si>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</si>
  <si>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</si>
  <si>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</si>
  <si>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</si>
  <si>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</si>
  <si>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</si>
  <si>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</si>
  <si>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</si>
  <si>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</si>
  <si>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</si>
  <si>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</si>
  <si>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</si>
  <si>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</si>
  <si>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</si>
  <si>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</si>
  <si>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</si>
  <si>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</si>
  <si>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</si>
  <si>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</si>
  <si>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</si>
  <si>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</si>
  <si>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</si>
  <si>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</si>
  <si>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</si>
  <si>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</si>
  <si>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</si>
  <si>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</si>
  <si>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</si>
  <si>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</si>
  <si>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</si>
  <si>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</si>
  <si>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</si>
  <si>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</si>
  <si>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</si>
  <si>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</si>
  <si>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</si>
  <si>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</si>
  <si>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</si>
  <si>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</si>
  <si>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</si>
  <si>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</si>
  <si>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</si>
  <si>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</si>
  <si>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</si>
  <si>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</si>
  <si>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</si>
  <si>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</si>
  <si>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</si>
  <si>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</si>
  <si>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</si>
  <si>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</si>
  <si>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</si>
  <si>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</si>
  <si>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</si>
  <si>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</si>
  <si>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</si>
  <si>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</si>
  <si>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</si>
  <si>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</si>
  <si>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</si>
  <si>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</si>
  <si>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</si>
  <si>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</si>
  <si>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</si>
  <si>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</si>
  <si>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</si>
  <si>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</si>
  <si>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</si>
  <si>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</si>
  <si>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</si>
  <si>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</si>
  <si>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</si>
  <si>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</si>
  <si>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</si>
  <si>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</si>
  <si>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</si>
  <si>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</si>
  <si>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</si>
  <si>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</si>
  <si>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</si>
  <si>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</si>
  <si>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</si>
  <si>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</si>
  <si>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</si>
  <si>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</si>
  <si>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</si>
  <si>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</si>
  <si>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</si>
  <si>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</si>
  <si>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</si>
  <si>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</si>
  <si>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</si>
  <si>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</si>
  <si>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</si>
  <si>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</si>
  <si>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</si>
  <si>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</si>
  <si>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</si>
  <si>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</si>
  <si>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</si>
  <si>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</si>
  <si>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</si>
  <si>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</si>
  <si>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</si>
  <si>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</si>
  <si>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</si>
  <si>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</si>
  <si>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</si>
  <si>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</si>
  <si>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</si>
  <si>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</si>
  <si>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</si>
  <si>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</si>
  <si>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</si>
  <si>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</si>
  <si>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</si>
  <si>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</si>
  <si>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</si>
  <si>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</si>
  <si>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</si>
  <si>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</si>
  <si>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</si>
  <si>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</si>
  <si>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</si>
  <si>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</si>
  <si>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</si>
  <si>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</si>
  <si>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</si>
  <si>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</si>
  <si>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</si>
  <si>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</si>
  <si>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</si>
  <si>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</si>
  <si>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</si>
  <si>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</si>
  <si>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</si>
  <si>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</si>
  <si>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</si>
  <si>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</si>
  <si>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</si>
  <si>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</si>
  <si>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</si>
  <si>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</si>
  <si>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</si>
  <si>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</si>
  <si>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</si>
  <si>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</si>
  <si>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</si>
  <si>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</si>
  <si>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</si>
  <si>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</si>
  <si>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</si>
  <si>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</si>
  <si>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</si>
  <si>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</si>
  <si>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</si>
  <si>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</si>
  <si>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</si>
  <si>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</si>
  <si>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</si>
  <si>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</si>
  <si>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</si>
  <si>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</si>
  <si>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</si>
  <si>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</si>
  <si>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</si>
  <si>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</si>
  <si>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</si>
  <si>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</si>
  <si>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</si>
  <si>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</si>
  <si>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</si>
  <si>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</si>
  <si>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</si>
  <si>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</si>
  <si>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</si>
  <si>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</si>
  <si>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</si>
  <si>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</si>
  <si>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</si>
  <si>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</si>
  <si>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</si>
  <si>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</si>
  <si>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</si>
  <si>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</si>
  <si>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</si>
  <si>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</si>
  <si>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</si>
  <si>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</si>
  <si>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</si>
  <si>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</si>
  <si>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</si>
  <si>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</si>
  <si>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</si>
  <si>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</si>
  <si>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</si>
  <si>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</si>
  <si>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</si>
  <si>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</si>
  <si>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</si>
  <si>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</si>
  <si>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</si>
  <si>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</si>
  <si>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</si>
  <si>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</si>
  <si>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</si>
  <si>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</si>
  <si>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</si>
  <si>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</si>
  <si>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</si>
  <si>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</si>
  <si>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</si>
  <si>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</si>
  <si>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</si>
  <si>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</si>
  <si>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</si>
  <si>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</si>
  <si>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</si>
  <si>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</si>
  <si>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</si>
  <si>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</si>
  <si>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</si>
  <si>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</si>
  <si>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</si>
  <si>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</si>
  <si>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</si>
  <si>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</si>
  <si>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</si>
  <si>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</si>
  <si>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</si>
  <si>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</si>
  <si>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</si>
  <si>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</si>
  <si>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</si>
  <si>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</si>
  <si>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</si>
  <si>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</si>
  <si>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</si>
  <si>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</si>
  <si>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</si>
  <si>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</si>
  <si>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</si>
  <si>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</si>
  <si>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</si>
  <si>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</si>
  <si>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</si>
  <si>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</si>
  <si>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</si>
  <si>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</si>
  <si>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</si>
  <si>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</si>
  <si>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</si>
  <si>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</si>
  <si>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</si>
  <si>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</si>
  <si>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</si>
  <si>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</si>
  <si>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</si>
  <si>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</si>
  <si>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</si>
  <si>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</si>
  <si>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</si>
  <si>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</si>
  <si>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</si>
  <si>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</si>
  <si>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</si>
  <si>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</si>
  <si>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</si>
  <si>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</si>
  <si>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</si>
  <si>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</si>
  <si>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</si>
  <si>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</si>
  <si>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</si>
  <si>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</si>
  <si>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</si>
  <si>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</si>
  <si>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</si>
  <si>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</si>
  <si>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</si>
  <si>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</si>
  <si>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</si>
  <si>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</si>
  <si>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</si>
  <si>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</si>
  <si>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</si>
  <si>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</si>
  <si>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</si>
  <si>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</si>
  <si>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</si>
  <si>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</si>
  <si>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</si>
  <si>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</si>
  <si>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</si>
  <si>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</si>
  <si>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</si>
  <si>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</si>
  <si>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</si>
  <si>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</si>
  <si>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</si>
  <si>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</si>
  <si>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</si>
  <si>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</si>
  <si>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</si>
  <si>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</si>
  <si>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</si>
  <si>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</si>
  <si>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</si>
  <si>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</si>
  <si>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</si>
  <si>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</si>
  <si>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</si>
  <si>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</si>
  <si>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</si>
  <si>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</si>
  <si>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</si>
  <si>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</si>
  <si>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</si>
  <si>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</si>
  <si>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</si>
  <si>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</si>
  <si>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</si>
  <si>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</si>
  <si>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</si>
  <si>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</si>
  <si>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</si>
  <si>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</si>
  <si>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</si>
  <si>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</si>
  <si>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</si>
  <si>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</si>
  <si>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</si>
  <si>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</si>
  <si>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</si>
  <si>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</si>
  <si>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</si>
  <si>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</si>
  <si>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</si>
  <si>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</si>
  <si>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</si>
  <si>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</si>
  <si>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</si>
  <si>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</si>
  <si>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</si>
  <si>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</si>
  <si>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</si>
  <si>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</si>
  <si>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</si>
  <si>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</si>
  <si>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</si>
  <si>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</si>
  <si>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</si>
  <si>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</si>
  <si>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</si>
  <si>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</si>
  <si>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</si>
  <si>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</si>
  <si>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</si>
  <si>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</si>
  <si>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</si>
  <si>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</si>
  <si>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</si>
  <si>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</si>
  <si>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</si>
  <si>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</si>
  <si>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</si>
  <si>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</si>
  <si>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</si>
  <si>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</si>
  <si>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</si>
  <si>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</si>
  <si>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</si>
  <si>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</si>
  <si>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</si>
  <si>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</si>
  <si>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</si>
  <si>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</si>
  <si>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</si>
  <si>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</si>
  <si>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</si>
  <si>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</si>
  <si>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</si>
  <si>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</si>
  <si>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</si>
  <si>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</si>
  <si>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</si>
  <si>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</si>
  <si>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</si>
  <si>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</si>
  <si>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</si>
  <si>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</si>
  <si>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</si>
  <si>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</si>
  <si>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</si>
  <si>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</si>
  <si>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</si>
  <si>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</si>
  <si>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</si>
  <si>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</si>
  <si>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</si>
  <si>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</si>
  <si>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</si>
  <si>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</si>
  <si>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</si>
  <si>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</si>
  <si>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</si>
  <si>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</si>
  <si>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</si>
  <si>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</si>
  <si>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</si>
  <si>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</si>
  <si>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</si>
  <si>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</si>
  <si>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</si>
  <si>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</si>
  <si>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</si>
  <si>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</si>
  <si>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</si>
  <si>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</si>
  <si>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</si>
  <si>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</si>
  <si>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</si>
  <si>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</si>
  <si>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</si>
  <si>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</si>
  <si>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</si>
  <si>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</si>
  <si>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</si>
  <si>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</si>
  <si>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</si>
  <si>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</si>
  <si>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</si>
  <si>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</si>
  <si>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</si>
  <si>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</si>
  <si>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</si>
  <si>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</si>
  <si>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</si>
  <si>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</si>
  <si>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</si>
  <si>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</si>
  <si>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</si>
  <si>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</si>
  <si>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</si>
  <si>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</si>
  <si>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</si>
  <si>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</si>
  <si>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</si>
  <si>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</si>
  <si>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</si>
  <si>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</si>
  <si>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</si>
  <si>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</si>
  <si>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</si>
  <si>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</si>
  <si>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</si>
  <si>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</si>
  <si>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</si>
  <si>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</si>
  <si>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</si>
  <si>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</si>
  <si>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</si>
  <si>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</si>
  <si>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</si>
  <si>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</si>
  <si>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</si>
  <si>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</si>
  <si>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</si>
  <si>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</si>
  <si>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</si>
  <si>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</si>
  <si>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</si>
  <si>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</si>
  <si>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</si>
  <si>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</si>
  <si>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</si>
  <si>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</si>
  <si>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</si>
  <si>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</si>
  <si>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</si>
  <si>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</si>
  <si>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</si>
  <si>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</si>
  <si>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</si>
  <si>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</si>
  <si>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</si>
  <si>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</si>
  <si>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</si>
  <si>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</si>
  <si>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</si>
  <si>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</si>
  <si>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</si>
  <si>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</si>
  <si>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</si>
  <si>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</si>
  <si>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</si>
  <si>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</si>
  <si>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</si>
  <si>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</si>
  <si>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</si>
  <si>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</si>
  <si>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</si>
  <si>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</si>
  <si>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</si>
  <si>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</si>
  <si>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</si>
  <si>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</si>
  <si>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</si>
  <si>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</si>
  <si>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</si>
  <si>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</si>
  <si>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</si>
  <si>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</si>
  <si>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</si>
  <si>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</si>
  <si>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</si>
  <si>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</si>
  <si>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</si>
  <si>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</si>
  <si>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</si>
  <si>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</si>
  <si>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</si>
  <si>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</si>
  <si>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</si>
  <si>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</si>
  <si>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</si>
  <si>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</si>
  <si>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</si>
  <si>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</si>
  <si>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</si>
  <si>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</si>
  <si>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</si>
  <si>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</si>
  <si>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</si>
  <si>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</si>
  <si>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</si>
  <si>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</si>
  <si>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</si>
  <si>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</si>
  <si>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</si>
  <si>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</si>
  <si>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</si>
  <si>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</si>
  <si>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</si>
  <si>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</si>
  <si>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</si>
  <si>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</si>
  <si>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</si>
  <si>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</si>
  <si>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</si>
  <si>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</si>
  <si>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</si>
  <si>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</si>
  <si>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</si>
  <si>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</si>
  <si>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</si>
  <si>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</si>
  <si>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</si>
  <si>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</si>
  <si>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</si>
  <si>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</si>
  <si>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</si>
  <si>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</si>
  <si>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</si>
  <si>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</si>
  <si>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</si>
  <si>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</si>
  <si>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</si>
  <si>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</si>
  <si>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</si>
  <si>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</si>
  <si>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</si>
  <si>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</si>
  <si>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</si>
  <si>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</si>
  <si>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</si>
  <si>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</si>
  <si>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</si>
  <si>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</si>
  <si>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</si>
  <si>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</si>
  <si>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</si>
  <si>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</si>
  <si>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</si>
  <si>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</si>
  <si>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</si>
  <si>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</si>
  <si>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</si>
  <si>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</si>
  <si>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</si>
  <si>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</si>
  <si>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</si>
  <si>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</si>
  <si>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</si>
  <si>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</si>
  <si>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</si>
  <si>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</si>
  <si>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</si>
  <si>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</si>
  <si>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</si>
  <si>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</si>
  <si>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</si>
  <si>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</si>
  <si>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</si>
  <si>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</si>
  <si>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</si>
  <si>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</si>
  <si>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</si>
  <si>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</si>
  <si>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</si>
  <si>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</si>
  <si>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</si>
  <si>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</si>
  <si>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</si>
  <si>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</si>
  <si>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</si>
  <si>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</si>
  <si>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</si>
  <si>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</si>
  <si>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</si>
  <si>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</si>
  <si>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</si>
  <si>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</si>
  <si>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</si>
  <si>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</si>
  <si>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</si>
  <si>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</si>
  <si>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</si>
  <si>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</si>
  <si>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</si>
  <si>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</si>
  <si>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</si>
  <si>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</si>
  <si>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</si>
  <si>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</si>
  <si>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</si>
  <si>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</si>
  <si>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</si>
  <si>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</si>
  <si>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</si>
  <si>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</si>
  <si>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</si>
  <si>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</si>
  <si>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</si>
  <si>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</si>
  <si>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</si>
  <si>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</si>
  <si>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</si>
  <si>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</si>
  <si>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</si>
  <si>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</si>
  <si>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</si>
  <si>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</si>
  <si>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</si>
  <si>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</si>
  <si>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</si>
  <si>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</si>
  <si>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</si>
  <si>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</si>
  <si>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</si>
  <si>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</si>
  <si>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</si>
  <si>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</si>
  <si>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</si>
  <si>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</si>
  <si>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</si>
  <si>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</si>
  <si>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</si>
  <si>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</si>
  <si>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</si>
  <si>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</si>
  <si>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</si>
  <si>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</si>
  <si>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</si>
  <si>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</si>
  <si>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</si>
  <si>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</si>
  <si>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</si>
  <si>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</si>
  <si>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</si>
  <si>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</si>
  <si>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</si>
  <si>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</si>
  <si>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</si>
  <si>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</si>
  <si>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</si>
  <si>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</si>
  <si>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</si>
  <si>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</si>
  <si>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</si>
  <si>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</si>
  <si>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</si>
  <si>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</si>
  <si>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</si>
  <si>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</si>
  <si>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</si>
  <si>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</si>
  <si>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</si>
  <si>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</si>
  <si>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</si>
  <si>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</si>
  <si>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</si>
  <si>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</si>
  <si>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</si>
  <si>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</si>
  <si>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</si>
  <si>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</si>
  <si>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</si>
  <si>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</si>
  <si>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</si>
  <si>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</si>
  <si>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</si>
  <si>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</si>
  <si>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</si>
  <si>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</si>
  <si>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</si>
  <si>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</si>
  <si>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</si>
  <si>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</si>
  <si>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</si>
  <si>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</si>
  <si>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</si>
  <si>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</si>
  <si>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</si>
  <si>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</si>
  <si>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</si>
  <si>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</si>
  <si>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</si>
  <si>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</si>
  <si>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</si>
  <si>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</si>
  <si>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</si>
  <si>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</si>
  <si>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</si>
  <si>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</si>
  <si>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</si>
  <si>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</si>
  <si>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</si>
  <si>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</si>
  <si>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</si>
  <si>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</si>
  <si>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</si>
  <si>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</si>
  <si>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</si>
  <si>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</si>
  <si>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</si>
  <si>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</si>
  <si>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</si>
  <si>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</si>
  <si>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</si>
  <si>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</si>
  <si>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</si>
  <si>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</si>
  <si>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</si>
  <si>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</si>
  <si>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</si>
  <si>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</si>
  <si>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</si>
  <si>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</si>
  <si>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</si>
  <si>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</si>
  <si>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</si>
  <si>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</si>
  <si>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</si>
  <si>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</si>
  <si>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</si>
  <si>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</si>
  <si>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</si>
  <si>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</si>
  <si>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</si>
  <si>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</si>
  <si>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</si>
  <si>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</si>
  <si>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</si>
  <si>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</si>
  <si>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</si>
  <si>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</si>
  <si>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</si>
  <si>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</si>
  <si>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</si>
  <si>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</si>
  <si>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</si>
  <si>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</si>
  <si>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</si>
  <si>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</si>
  <si>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</si>
  <si>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</si>
  <si>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</si>
  <si>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</si>
  <si>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</si>
  <si>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</si>
  <si>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</si>
  <si>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</si>
  <si>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</si>
  <si>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</si>
  <si>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</si>
  <si>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</si>
  <si>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</si>
  <si>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</si>
  <si>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</si>
  <si>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</si>
  <si>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</si>
  <si>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</si>
  <si>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</si>
  <si>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</si>
  <si>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</si>
  <si>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</si>
  <si>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</si>
  <si>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</si>
  <si>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</si>
  <si>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</si>
  <si>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</si>
  <si>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</si>
  <si>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</si>
  <si>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</si>
  <si>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</si>
  <si>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</si>
  <si>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</si>
  <si>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</si>
  <si>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</si>
  <si>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</si>
  <si>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</si>
  <si>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</si>
  <si>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</si>
  <si>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</si>
  <si>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</si>
  <si>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</si>
  <si>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</si>
  <si>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</si>
  <si>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</si>
  <si>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</si>
  <si>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</si>
  <si>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</si>
  <si>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</si>
  <si>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</si>
  <si>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</si>
  <si>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</si>
  <si>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</si>
  <si>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</si>
  <si>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</si>
  <si>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</si>
  <si>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</si>
  <si>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</si>
  <si>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</si>
  <si>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</si>
  <si>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</si>
  <si>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</si>
  <si>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</si>
  <si>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</si>
  <si>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</si>
  <si>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</si>
  <si>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</si>
  <si>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</si>
  <si>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</si>
  <si>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</si>
  <si>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</si>
  <si>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</si>
  <si>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</si>
  <si>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</si>
  <si>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</si>
  <si>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</si>
  <si>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</si>
  <si>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</si>
  <si>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</si>
  <si>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</si>
  <si>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</si>
  <si>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</si>
  <si>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</si>
  <si>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</si>
  <si>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</si>
  <si>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</si>
  <si>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</si>
  <si>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</si>
  <si>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</si>
  <si>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</si>
  <si>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</si>
  <si>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</si>
  <si>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</si>
  <si>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</si>
  <si>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</si>
  <si>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</si>
  <si>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</si>
  <si>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</si>
  <si>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</si>
  <si>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</si>
  <si>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</si>
  <si>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</si>
  <si>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</si>
  <si>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</si>
  <si>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</si>
  <si>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</si>
  <si>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</si>
  <si>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</si>
  <si>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</si>
  <si>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</si>
  <si>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</si>
  <si>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</si>
  <si>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</si>
  <si>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</si>
  <si>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</si>
  <si>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</si>
  <si>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</si>
  <si>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</si>
  <si>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</si>
  <si>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</si>
  <si>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</si>
  <si>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</si>
  <si>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</si>
  <si>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</si>
  <si>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</si>
  <si>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</si>
  <si>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</si>
  <si>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</si>
  <si>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</si>
  <si>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</si>
  <si>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</si>
  <si>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</si>
  <si>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</si>
  <si>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</si>
  <si>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</si>
  <si>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</si>
  <si>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</si>
  <si>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</si>
  <si>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</si>
  <si>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</si>
  <si>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</si>
  <si>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</si>
  <si>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</si>
  <si>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</si>
  <si>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</si>
  <si>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</si>
  <si>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</si>
  <si>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</si>
  <si>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</si>
  <si>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</si>
  <si>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</si>
  <si>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</si>
  <si>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</si>
  <si>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</si>
  <si>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</si>
  <si>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</si>
  <si>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</si>
  <si>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</si>
  <si>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</si>
  <si>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</si>
  <si>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</si>
  <si>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</si>
  <si>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</si>
  <si>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</si>
  <si>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</si>
  <si>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</si>
  <si>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</si>
  <si>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</si>
  <si>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</si>
  <si>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</si>
  <si>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</si>
  <si>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</si>
  <si>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</si>
  <si>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</si>
  <si>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</si>
  <si>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</si>
  <si>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</si>
  <si>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</si>
  <si>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</si>
  <si>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</si>
  <si>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</si>
  <si>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</si>
  <si>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</si>
  <si>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</si>
  <si>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</si>
  <si>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</si>
  <si>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</si>
  <si>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</si>
  <si>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</si>
  <si>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</si>
  <si>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</si>
  <si>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</si>
  <si>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</si>
  <si>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</si>
  <si>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</si>
  <si>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</si>
  <si>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</si>
  <si>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</si>
  <si>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</si>
  <si>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</si>
  <si>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</si>
  <si>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</si>
  <si>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</si>
  <si>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</si>
  <si>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</si>
  <si>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</si>
  <si>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</si>
  <si>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</si>
  <si>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</si>
  <si>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</si>
  <si>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</si>
  <si>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</si>
  <si>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</si>
  <si>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</si>
  <si>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</si>
  <si>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</si>
  <si>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</si>
  <si>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</si>
  <si>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</si>
  <si>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</si>
  <si>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</si>
  <si>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</si>
  <si>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</si>
  <si>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</si>
  <si>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</si>
  <si>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</si>
  <si>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</si>
  <si>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</si>
  <si>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</si>
  <si>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</si>
  <si>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</si>
  <si>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</si>
  <si>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</si>
  <si>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</si>
  <si>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</si>
  <si>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</si>
  <si>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</si>
  <si>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</si>
  <si>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</si>
  <si>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</si>
  <si>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</si>
  <si>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</si>
  <si>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</si>
  <si>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</si>
  <si>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</si>
  <si>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</si>
  <si>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</si>
  <si>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</si>
  <si>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</si>
  <si>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</si>
  <si>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</si>
  <si>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</si>
  <si>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</si>
  <si>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</si>
  <si>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</si>
  <si>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</si>
  <si>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</si>
  <si>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</si>
  <si>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</si>
  <si>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</si>
  <si>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</si>
  <si>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</si>
  <si>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</si>
  <si>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</si>
  <si>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</si>
  <si>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</si>
  <si>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</si>
  <si>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</si>
  <si>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</si>
  <si>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</si>
  <si>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</si>
  <si>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</si>
  <si>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</si>
  <si>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</si>
  <si>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</si>
  <si>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</si>
  <si>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</si>
  <si>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</si>
  <si>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</si>
  <si>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</si>
  <si>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</si>
  <si>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</si>
  <si>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</si>
  <si>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</si>
  <si>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</si>
  <si>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</si>
  <si>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</si>
  <si>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</si>
  <si>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</si>
  <si>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</si>
  <si>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</si>
  <si>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</si>
  <si>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</si>
  <si>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</si>
  <si>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</si>
  <si>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</si>
  <si>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</si>
  <si>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</si>
  <si>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</si>
  <si>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</si>
  <si>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</si>
  <si>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</si>
  <si>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</si>
  <si>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</si>
  <si>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</si>
  <si>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</si>
  <si>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</si>
  <si>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</si>
  <si>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</si>
  <si>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</si>
  <si>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</si>
  <si>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</si>
  <si>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</si>
  <si>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</si>
  <si>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</si>
  <si>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</si>
  <si>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</si>
  <si>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</si>
  <si>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</si>
  <si>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</si>
  <si>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</si>
  <si>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</si>
  <si>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</si>
  <si>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</si>
  <si>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</si>
  <si>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</si>
  <si>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</si>
  <si>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</si>
  <si>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</si>
  <si>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</si>
  <si>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</si>
  <si>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</si>
  <si>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</si>
  <si>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</si>
  <si>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</si>
  <si>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</si>
  <si>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</si>
  <si>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</si>
  <si>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</si>
  <si>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</si>
  <si>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</si>
  <si>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</si>
  <si>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</si>
  <si>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</si>
  <si>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</si>
  <si>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</si>
  <si>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</si>
  <si>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</si>
  <si>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</si>
  <si>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</si>
  <si>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</si>
  <si>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</si>
  <si>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</si>
  <si>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</si>
  <si>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</si>
  <si>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</si>
  <si>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</si>
  <si>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</si>
  <si>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</si>
  <si>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</si>
  <si>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</si>
  <si>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</si>
  <si>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</si>
  <si>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</si>
  <si>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</si>
  <si>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</si>
  <si>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</si>
  <si>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</si>
  <si>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</si>
  <si>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</si>
  <si>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</si>
  <si>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</si>
  <si>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</si>
  <si>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</si>
  <si>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</si>
  <si>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</si>
  <si>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</si>
  <si>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</si>
  <si>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</si>
  <si>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</si>
  <si>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</si>
  <si>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</si>
  <si>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</si>
  <si>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</si>
  <si>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</si>
  <si>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</si>
  <si>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</si>
  <si>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</si>
  <si>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</si>
  <si>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</si>
  <si>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</si>
  <si>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</si>
  <si>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</si>
  <si>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</si>
  <si>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</si>
  <si>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</si>
  <si>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</si>
  <si>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</si>
  <si>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</si>
  <si>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</si>
  <si>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</si>
  <si>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</si>
  <si>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</si>
  <si>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</si>
  <si>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</si>
  <si>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</si>
  <si>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</si>
  <si>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</si>
  <si>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</si>
  <si>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</si>
  <si>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</si>
  <si>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</si>
  <si>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</si>
  <si>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</si>
  <si>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</si>
  <si>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</si>
  <si>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</si>
  <si>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</si>
  <si>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</si>
  <si>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</si>
  <si>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</si>
  <si>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</si>
  <si>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</si>
  <si>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</si>
  <si>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</si>
  <si>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</si>
  <si>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</si>
  <si>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</si>
  <si>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</si>
  <si>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</si>
  <si>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</si>
  <si>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</si>
  <si>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</si>
  <si>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</si>
  <si>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</si>
  <si>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</si>
  <si>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</si>
  <si>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</si>
  <si>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</si>
  <si>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</si>
  <si>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</si>
  <si>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</si>
  <si>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</si>
  <si>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</si>
  <si>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</si>
  <si>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</si>
  <si>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</si>
  <si>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</si>
  <si>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</si>
  <si>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</si>
  <si>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</si>
  <si>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</si>
  <si>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</si>
  <si>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</si>
  <si>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</si>
  <si>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</si>
  <si>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</si>
  <si>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</si>
  <si>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</si>
  <si>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</si>
  <si>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</si>
  <si>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</si>
  <si>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</si>
  <si>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</si>
  <si>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</si>
  <si>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</si>
  <si>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</si>
  <si>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</si>
  <si>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</si>
  <si>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</si>
  <si>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</si>
  <si>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</si>
  <si>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</si>
  <si>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</si>
  <si>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</si>
  <si>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</si>
  <si>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</si>
  <si>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</si>
  <si>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</si>
  <si>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</si>
  <si>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</si>
  <si>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</si>
  <si>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</si>
  <si>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</si>
  <si>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</si>
  <si>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</si>
  <si>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</si>
  <si>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</si>
  <si>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</si>
  <si>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</si>
  <si>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</si>
  <si>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</si>
  <si>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</si>
  <si>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</si>
  <si>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</si>
  <si>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</si>
  <si>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</si>
  <si>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</si>
  <si>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</si>
  <si>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</si>
  <si>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</si>
  <si>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</si>
  <si>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</si>
  <si>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</si>
  <si>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</si>
  <si>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</si>
  <si>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</si>
  <si>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</si>
  <si>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</si>
  <si>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</si>
  <si>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</si>
  <si>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</si>
  <si>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</si>
  <si>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</si>
  <si>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</si>
  <si>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</si>
  <si>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</si>
  <si>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</si>
  <si>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</si>
  <si>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</si>
  <si>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</si>
  <si>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</si>
  <si>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</si>
  <si>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</si>
  <si>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</si>
  <si>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</si>
  <si>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</si>
  <si>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</si>
  <si>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</si>
  <si>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</si>
  <si>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</si>
  <si>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</si>
  <si>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</si>
  <si>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</si>
  <si>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</si>
  <si>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</si>
  <si>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</si>
  <si>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</si>
  <si>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</si>
  <si>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</si>
  <si>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</si>
  <si>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</si>
  <si>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</si>
  <si>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</si>
  <si>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</si>
  <si>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</si>
  <si>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</si>
  <si>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</si>
  <si>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</si>
  <si>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</si>
  <si>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</si>
  <si>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</si>
  <si>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</si>
  <si>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</si>
  <si>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</si>
  <si>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</si>
  <si>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</si>
  <si>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</si>
  <si>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</si>
  <si>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</si>
  <si>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</si>
  <si>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</si>
  <si>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</si>
  <si>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</si>
  <si>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</si>
  <si>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</si>
  <si>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</si>
  <si>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</si>
  <si>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</si>
  <si>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</si>
  <si>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</si>
  <si>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</si>
  <si>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</si>
  <si>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</si>
  <si>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</si>
  <si>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</si>
  <si>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</si>
  <si>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</si>
  <si>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</si>
  <si>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</si>
  <si>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</si>
  <si>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</si>
  <si>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</si>
  <si>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</si>
  <si>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</si>
  <si>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</si>
  <si>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</si>
  <si>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</si>
  <si>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</si>
  <si>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</si>
  <si>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</si>
  <si>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</si>
  <si>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</si>
  <si>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</si>
  <si>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</si>
  <si>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</si>
  <si>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</si>
  <si>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</si>
  <si>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</si>
  <si>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</si>
  <si>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</si>
  <si>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</si>
  <si>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</si>
  <si>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</si>
  <si>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</si>
  <si>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</si>
  <si>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</si>
  <si>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</si>
  <si>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</si>
  <si>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</si>
  <si>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</si>
  <si>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</si>
  <si>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</si>
  <si>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</si>
  <si>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</si>
  <si>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</si>
  <si>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</si>
  <si>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</si>
  <si>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</si>
  <si>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</si>
  <si>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</si>
  <si>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</si>
  <si>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</si>
  <si>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</si>
  <si>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</si>
  <si>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</si>
  <si>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</si>
  <si>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</si>
  <si>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</si>
  <si>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</si>
  <si>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</si>
  <si>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</si>
  <si>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</si>
  <si>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</si>
  <si>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</si>
  <si>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</si>
  <si>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</si>
  <si>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</si>
  <si>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</si>
  <si>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</si>
  <si>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</si>
  <si>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</si>
  <si>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</si>
  <si>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</si>
  <si>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</si>
  <si>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</si>
  <si>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</si>
  <si>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</si>
  <si>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</si>
  <si>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</si>
  <si>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</si>
  <si>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</si>
  <si>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</si>
  <si>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</si>
  <si>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</si>
  <si>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</si>
  <si>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</si>
  <si>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</si>
  <si>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</si>
  <si>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</si>
  <si>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</si>
  <si>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</si>
  <si>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</si>
  <si>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</si>
  <si>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</si>
  <si>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</si>
  <si>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</si>
  <si>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</si>
  <si>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</si>
  <si>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</si>
  <si>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</si>
  <si>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</si>
  <si>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</si>
  <si>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</si>
  <si>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</si>
  <si>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</si>
  <si>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</si>
  <si>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</si>
  <si>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</si>
  <si>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</si>
  <si>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</si>
  <si>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</si>
  <si>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</si>
  <si>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</si>
  <si>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</si>
  <si>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</si>
  <si>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</si>
  <si>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</si>
  <si>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</si>
  <si>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</si>
  <si>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</si>
  <si>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</si>
  <si>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</si>
  <si>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</si>
  <si>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</si>
  <si>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</si>
  <si>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</si>
  <si>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</si>
  <si>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</si>
  <si>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</si>
  <si>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</si>
  <si>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</si>
  <si>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</si>
  <si>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</si>
  <si>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</si>
  <si>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</si>
  <si>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</si>
  <si>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</si>
  <si>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</si>
  <si>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</si>
  <si>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</si>
  <si>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</si>
  <si>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</si>
  <si>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</si>
  <si>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</si>
  <si>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</si>
  <si>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</si>
  <si>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</si>
  <si>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</si>
  <si>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</si>
  <si>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</si>
  <si>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</si>
  <si>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</si>
  <si>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</si>
  <si>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</si>
  <si>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</si>
  <si>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</si>
  <si>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</si>
  <si>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</si>
  <si>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</si>
  <si>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</si>
  <si>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</si>
  <si>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</si>
  <si>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</si>
  <si>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</si>
  <si>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</si>
  <si>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</si>
  <si>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</si>
  <si>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</si>
  <si>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</si>
  <si>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</si>
  <si>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</si>
  <si>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</si>
  <si>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</si>
  <si>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</si>
  <si>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</si>
  <si>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</si>
  <si>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</si>
  <si>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</si>
  <si>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</si>
  <si>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</si>
  <si>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</si>
  <si>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</si>
  <si>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</si>
  <si>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</si>
  <si>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</si>
  <si>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</si>
  <si>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</si>
  <si>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</si>
  <si>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</si>
  <si>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</si>
  <si>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</si>
  <si>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</si>
  <si>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</si>
  <si>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</si>
  <si>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</si>
  <si>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</si>
  <si>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</si>
  <si>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</si>
  <si>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</si>
  <si>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</si>
  <si>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</si>
  <si>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</si>
  <si>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</si>
  <si>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</si>
  <si>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</si>
  <si>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</si>
  <si>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</si>
  <si>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</si>
  <si>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</si>
  <si>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</si>
  <si>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</si>
  <si>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</si>
  <si>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</si>
  <si>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</si>
  <si>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</si>
  <si>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</si>
  <si>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</si>
  <si>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</si>
  <si>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</si>
  <si>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</si>
  <si>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</si>
  <si>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</si>
  <si>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</si>
  <si>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</si>
  <si>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</si>
  <si>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</si>
  <si>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</si>
  <si>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</si>
  <si>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</si>
  <si>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</si>
  <si>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</si>
  <si>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</si>
  <si>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</si>
  <si>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</si>
  <si>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</si>
  <si>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</si>
  <si>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</si>
  <si>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</si>
  <si>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</si>
  <si>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</si>
  <si>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</si>
  <si>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</si>
  <si>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</si>
  <si>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</si>
  <si>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</si>
  <si>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</si>
  <si>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</si>
  <si>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</si>
  <si>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</si>
  <si>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</si>
  <si>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</si>
  <si>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</si>
  <si>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</si>
  <si>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</si>
  <si>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</si>
  <si>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</si>
  <si>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</si>
  <si>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</si>
  <si>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</si>
  <si>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</si>
  <si>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</si>
  <si>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</si>
  <si>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</si>
  <si>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</si>
  <si>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</si>
  <si>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</si>
  <si>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</si>
  <si>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</si>
  <si>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</si>
  <si>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</si>
  <si>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</si>
  <si>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</si>
  <si>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</si>
  <si>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</si>
  <si>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</si>
  <si>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</si>
  <si>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</si>
  <si>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</si>
  <si>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</si>
  <si>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</si>
  <si>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</si>
  <si>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</si>
  <si>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</si>
  <si>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</si>
  <si>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</si>
  <si>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</si>
  <si>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</si>
  <si>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</si>
  <si>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</si>
  <si>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</si>
  <si>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</si>
  <si>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</si>
  <si>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</si>
  <si>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</si>
  <si>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</si>
  <si>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</si>
  <si>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</si>
  <si>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</si>
  <si>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</si>
  <si>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</si>
  <si>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</si>
  <si>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</si>
  <si>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</si>
  <si>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</si>
  <si>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</si>
  <si>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</si>
  <si>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</si>
  <si>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</si>
  <si>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</si>
  <si>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</si>
  <si>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</si>
  <si>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</si>
  <si>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</si>
  <si>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</si>
  <si>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</si>
  <si>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</si>
  <si>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</si>
  <si>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</si>
  <si>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</si>
  <si>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</si>
  <si>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</si>
  <si>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</si>
  <si>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</si>
  <si>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</si>
  <si>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</si>
  <si>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</si>
  <si>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</si>
  <si>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</si>
  <si>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</si>
  <si>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</si>
  <si>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</si>
  <si>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</si>
  <si>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</si>
  <si>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</si>
  <si>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</si>
  <si>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</si>
  <si>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</si>
  <si>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</si>
  <si>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</si>
  <si>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</si>
  <si>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</si>
  <si>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</si>
  <si>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</si>
  <si>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</si>
  <si>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</si>
  <si>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</si>
  <si>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</si>
  <si>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</si>
  <si>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</si>
  <si>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</si>
  <si>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</si>
  <si>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</si>
  <si>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</si>
  <si>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</si>
  <si>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</si>
  <si>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</si>
  <si>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</si>
  <si>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</si>
  <si>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</si>
  <si>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</si>
  <si>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</si>
  <si>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</si>
  <si>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</si>
  <si>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</si>
  <si>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</si>
  <si>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</si>
  <si>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</si>
  <si>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</si>
  <si>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</si>
  <si>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</si>
  <si>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</si>
  <si>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</si>
  <si>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</si>
  <si>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</si>
  <si>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</si>
  <si>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</si>
  <si>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</si>
  <si>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</si>
  <si>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</si>
  <si>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</si>
  <si>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</si>
  <si>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</si>
  <si>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</si>
  <si>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</si>
  <si>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</si>
  <si>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</si>
  <si>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</si>
  <si>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</si>
  <si>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</si>
  <si>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</si>
  <si>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</si>
  <si>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</si>
  <si>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</si>
  <si>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</si>
  <si>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</si>
  <si>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</si>
  <si>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</si>
  <si>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</si>
  <si>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</si>
  <si>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</si>
  <si>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</si>
  <si>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</si>
  <si>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</si>
  <si>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</si>
  <si>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</si>
  <si>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</si>
  <si>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</si>
  <si>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</si>
  <si>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</si>
  <si>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</si>
  <si>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</si>
  <si>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</si>
  <si>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</si>
  <si>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</si>
  <si>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</si>
  <si>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</si>
  <si>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</si>
  <si>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</si>
  <si>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</si>
  <si>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</si>
  <si>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</si>
  <si>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</si>
  <si>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</si>
  <si>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</si>
  <si>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</si>
  <si>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</si>
  <si>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</si>
  <si>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</si>
  <si>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</si>
  <si>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</si>
  <si>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</si>
  <si>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</si>
  <si>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</si>
  <si>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</si>
  <si>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</si>
  <si>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</si>
  <si>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</si>
  <si>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</si>
  <si>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</si>
  <si>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</si>
  <si>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</si>
  <si>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</si>
  <si>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</si>
  <si>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</si>
  <si>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</si>
  <si>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</si>
  <si>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</si>
  <si>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</si>
  <si>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</si>
  <si>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</si>
  <si>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</si>
  <si>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</si>
  <si>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</si>
  <si>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</si>
  <si>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</si>
  <si>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</si>
  <si>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</si>
  <si>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</si>
  <si>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</si>
  <si>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</si>
  <si>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</si>
  <si>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</si>
  <si>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</si>
  <si>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</si>
  <si>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</si>
  <si>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</si>
  <si>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</si>
  <si>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</si>
  <si>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</si>
  <si>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</si>
  <si>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</si>
  <si>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</si>
  <si>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</si>
  <si>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</si>
  <si>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</si>
  <si>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</si>
  <si>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</si>
  <si>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</si>
  <si>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</si>
  <si>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</si>
  <si>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</si>
  <si>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</si>
  <si>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</si>
  <si>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</si>
  <si>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</si>
  <si>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</si>
  <si>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</si>
  <si>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</si>
  <si>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</si>
  <si>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</si>
  <si>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</si>
  <si>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</si>
  <si>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</si>
  <si>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</si>
  <si>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</si>
  <si>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</si>
  <si>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</si>
  <si>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</si>
  <si>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</si>
  <si>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</si>
  <si>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</si>
  <si>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</si>
  <si>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</si>
  <si>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</si>
  <si>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</si>
  <si>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</si>
  <si>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</si>
  <si>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</si>
  <si>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</si>
  <si>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</si>
  <si>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</si>
  <si>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</si>
  <si>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</si>
  <si>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</si>
  <si>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</si>
  <si>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</si>
  <si>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</si>
  <si>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</si>
  <si>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</si>
  <si>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</si>
  <si>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</si>
  <si>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</si>
  <si>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</si>
  <si>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</si>
  <si>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</si>
  <si>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</si>
  <si>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</si>
  <si>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</si>
  <si>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</si>
  <si>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</si>
  <si>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</si>
  <si>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</si>
  <si>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</si>
  <si>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</si>
  <si>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</si>
  <si>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</si>
  <si>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</si>
  <si>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</si>
  <si>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</si>
  <si>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</si>
  <si>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</si>
  <si>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</si>
  <si>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</si>
  <si>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</si>
  <si>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</si>
  <si>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</si>
  <si>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</si>
  <si>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</si>
  <si>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</si>
  <si>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</si>
  <si>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</si>
  <si>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</si>
  <si>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</si>
  <si>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</si>
  <si>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</si>
  <si>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</si>
  <si>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</si>
  <si>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</si>
  <si>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</si>
  <si>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</si>
  <si>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</si>
  <si>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</si>
  <si>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</si>
  <si>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</si>
  <si>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</si>
  <si>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</si>
  <si>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</si>
  <si>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</si>
  <si>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</si>
  <si>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</si>
  <si>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</si>
  <si>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</si>
  <si>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</si>
  <si>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</si>
  <si>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</si>
  <si>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</si>
  <si>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</si>
  <si>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</si>
  <si>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</si>
  <si>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</si>
  <si>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</si>
  <si>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</si>
  <si>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</si>
  <si>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</si>
  <si>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</si>
  <si>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</si>
  <si>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</si>
  <si>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</si>
  <si>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</si>
  <si>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</si>
  <si>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</si>
  <si>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</si>
  <si>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</si>
  <si>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</si>
  <si>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</si>
  <si>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</si>
  <si>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</si>
  <si>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</si>
  <si>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</si>
  <si>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</si>
  <si>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</si>
  <si>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</si>
  <si>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</si>
  <si>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</si>
  <si>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</si>
  <si>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</si>
  <si>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</si>
  <si>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</si>
  <si>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</si>
  <si>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</si>
  <si>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</si>
  <si>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</si>
  <si>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</si>
  <si>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</si>
  <si>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</si>
  <si>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</si>
  <si>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</si>
  <si>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</si>
  <si>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</si>
  <si>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</si>
  <si>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</si>
  <si>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</si>
  <si>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</si>
  <si>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</si>
  <si>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</si>
  <si>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</si>
  <si>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</si>
  <si>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</si>
  <si>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</si>
  <si>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</si>
  <si>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</si>
  <si>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</si>
  <si>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</si>
  <si>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</si>
  <si>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</si>
  <si>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</si>
  <si>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</si>
  <si>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</si>
  <si>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</si>
  <si>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</si>
  <si>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</si>
  <si>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</si>
  <si>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</si>
  <si>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</si>
  <si>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</si>
  <si>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</si>
  <si>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</si>
  <si>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</si>
  <si>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</si>
  <si>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</si>
  <si>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</si>
  <si>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</si>
  <si>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</si>
  <si>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</si>
  <si>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</si>
  <si>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</si>
  <si>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</si>
  <si>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</si>
  <si>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</si>
  <si>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</si>
  <si>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</si>
  <si>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</si>
  <si>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</si>
  <si>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</si>
  <si>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</si>
  <si>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</si>
  <si>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</si>
  <si>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</si>
  <si>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</si>
  <si>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</si>
  <si>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</si>
  <si>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</si>
  <si>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</si>
  <si>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</si>
  <si>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</si>
  <si>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</si>
  <si>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</si>
  <si>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</si>
  <si>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</si>
  <si>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</si>
  <si>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</si>
  <si>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</si>
  <si>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</si>
  <si>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</si>
  <si>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</si>
  <si>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</si>
  <si>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</si>
  <si>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</si>
  <si>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</si>
  <si>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</si>
  <si>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</si>
  <si>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</si>
  <si>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</si>
  <si>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</si>
  <si>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</si>
  <si>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</si>
  <si>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</si>
  <si>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</si>
  <si>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</si>
  <si>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</si>
  <si>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</si>
  <si>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</si>
  <si>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</si>
  <si>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</si>
  <si>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</si>
  <si>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</si>
  <si>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</si>
  <si>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</si>
  <si>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</si>
  <si>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</si>
  <si>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</si>
  <si>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</si>
  <si>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</si>
  <si>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</si>
  <si>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</si>
  <si>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</si>
  <si>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</si>
  <si>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</si>
  <si>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</si>
  <si>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</si>
  <si>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</si>
  <si>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</si>
  <si>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</si>
  <si>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</si>
  <si>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</si>
  <si>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</si>
  <si>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</si>
  <si>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</si>
  <si>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</si>
  <si>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</si>
  <si>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</si>
  <si>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</si>
  <si>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</si>
  <si>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</si>
  <si>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</si>
  <si>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</si>
  <si>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</si>
  <si>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</si>
  <si>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</si>
  <si>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</si>
  <si>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</si>
  <si>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</si>
  <si>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</si>
  <si>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</si>
  <si>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</si>
  <si>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</si>
  <si>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</si>
  <si>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</si>
  <si>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</si>
  <si>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</si>
  <si>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</si>
  <si>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</si>
  <si>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</si>
  <si>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</si>
  <si>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</si>
  <si>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</si>
  <si>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</si>
  <si>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</si>
  <si>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</si>
  <si>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</si>
  <si>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</si>
  <si>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</si>
  <si>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</si>
  <si>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</si>
  <si>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</si>
  <si>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</si>
  <si>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</si>
  <si>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</si>
  <si>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</si>
  <si>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</si>
  <si>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</si>
  <si>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</si>
  <si>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</si>
  <si>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</si>
  <si>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</si>
  <si>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</si>
  <si>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</si>
  <si>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</si>
  <si>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</si>
  <si>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</si>
  <si>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</si>
  <si>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</si>
  <si>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</si>
  <si>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</si>
  <si>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</si>
  <si>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</si>
  <si>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</si>
  <si>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</si>
  <si>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</si>
  <si>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</si>
  <si>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</si>
  <si>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</si>
  <si>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</si>
  <si>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</si>
  <si>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</si>
  <si>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</si>
  <si>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</si>
  <si>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</si>
  <si>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</si>
  <si>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</si>
  <si>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</si>
  <si>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</si>
  <si>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</si>
  <si>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</si>
  <si>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</si>
  <si>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</si>
  <si>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</si>
  <si>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</si>
  <si>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</si>
  <si>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</si>
  <si>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</si>
  <si>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</si>
  <si>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</si>
  <si>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</si>
  <si>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</si>
  <si>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</si>
  <si>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</si>
  <si>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</si>
  <si>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</si>
  <si>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</si>
  <si>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</si>
  <si>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</si>
  <si>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</si>
  <si>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</si>
  <si>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</si>
  <si>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</si>
  <si>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</si>
  <si>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</si>
  <si>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</si>
  <si>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</si>
  <si>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</si>
  <si>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</si>
  <si>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</si>
  <si>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</si>
  <si>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</si>
  <si>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</si>
  <si>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</si>
  <si>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</si>
  <si>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</si>
  <si>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</si>
  <si>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</si>
  <si>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</si>
  <si>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</si>
  <si>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</si>
  <si>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</si>
  <si>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</si>
  <si>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</si>
  <si>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</si>
  <si>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</si>
  <si>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</si>
  <si>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</si>
  <si>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</si>
  <si>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</si>
  <si>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</si>
  <si>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</si>
  <si>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</si>
  <si>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</si>
  <si>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</si>
  <si>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</si>
  <si>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</si>
  <si>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</si>
  <si>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</si>
  <si>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</si>
  <si>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</si>
  <si>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</si>
  <si>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</si>
  <si>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</si>
  <si>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</si>
  <si>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</si>
  <si>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</si>
  <si>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</si>
  <si>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</si>
  <si>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</si>
  <si>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</si>
  <si>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</si>
  <si>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</si>
  <si>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</si>
  <si>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</si>
  <si>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</si>
  <si>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</si>
  <si>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</si>
  <si>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</si>
  <si>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</si>
  <si>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</si>
  <si>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</si>
  <si>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</si>
  <si>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</si>
  <si>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</si>
  <si>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</si>
  <si>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</si>
  <si>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</si>
  <si>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</si>
  <si>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</si>
  <si>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</si>
  <si>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</si>
  <si>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</si>
  <si>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</si>
  <si>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</si>
  <si>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</si>
  <si>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</si>
  <si>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</si>
  <si>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</si>
  <si>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</si>
  <si>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</si>
  <si>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</si>
  <si>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</si>
  <si>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</si>
  <si>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</si>
  <si>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</si>
  <si>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</si>
  <si>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</si>
  <si>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</si>
  <si>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</si>
  <si>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</si>
  <si>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</si>
  <si>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</si>
  <si>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</si>
  <si>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</si>
  <si>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</si>
  <si>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</si>
  <si>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</si>
  <si>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</si>
  <si>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</si>
  <si>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</si>
  <si>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</si>
  <si>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</si>
  <si>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</si>
  <si>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</si>
  <si>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</si>
  <si>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</si>
  <si>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</si>
  <si>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</si>
  <si>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</si>
  <si>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</si>
  <si>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</si>
  <si>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</si>
  <si>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</si>
  <si>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</si>
  <si>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</si>
  <si>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</si>
  <si>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</si>
  <si>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</si>
  <si>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</si>
  <si>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</si>
  <si>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</si>
  <si>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</si>
  <si>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</si>
  <si>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</si>
  <si>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</si>
  <si>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</si>
  <si>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</si>
  <si>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</si>
  <si>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</si>
  <si>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</si>
  <si>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</si>
  <si>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</si>
  <si>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</si>
  <si>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</si>
  <si>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</si>
  <si>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</si>
  <si>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</si>
  <si>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</si>
  <si>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</si>
  <si>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</si>
  <si>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</si>
  <si>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</si>
  <si>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</si>
  <si>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</si>
  <si>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</si>
  <si>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</si>
  <si>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</si>
  <si>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</si>
  <si>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</si>
  <si>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</si>
  <si>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</si>
  <si>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</si>
  <si>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</si>
  <si>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</si>
  <si>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</si>
  <si>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</si>
  <si>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</si>
  <si>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</si>
  <si>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</si>
  <si>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</si>
  <si>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</si>
  <si>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</si>
  <si>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</si>
  <si>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</si>
  <si>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</si>
  <si>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</si>
  <si>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</si>
  <si>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</si>
  <si>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</si>
  <si>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</si>
  <si>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</si>
  <si>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</si>
  <si>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</si>
  <si>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</si>
  <si>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</si>
  <si>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</si>
  <si>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</si>
  <si>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</si>
  <si>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</si>
  <si>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</si>
  <si>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</si>
  <si>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</si>
  <si>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</si>
  <si>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</si>
  <si>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</si>
  <si>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</si>
  <si>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</si>
  <si>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</si>
  <si>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</si>
  <si>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</si>
  <si>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</si>
  <si>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</si>
  <si>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</si>
  <si>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</si>
  <si>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</si>
  <si>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</si>
  <si>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</si>
  <si>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</si>
  <si>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</si>
  <si>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</si>
  <si>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</si>
  <si>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</si>
  <si>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</si>
  <si>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</si>
  <si>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</si>
  <si>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</si>
  <si>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</si>
  <si>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</si>
  <si>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</si>
  <si>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</si>
  <si>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</si>
  <si>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</si>
  <si>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</si>
  <si>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</si>
  <si>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</si>
  <si>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</si>
  <si>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</si>
  <si>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</si>
  <si>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</si>
  <si>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</si>
  <si>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</si>
  <si>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</si>
  <si>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</si>
  <si>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</si>
  <si>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</si>
  <si>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</si>
  <si>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</si>
  <si>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</si>
  <si>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</si>
  <si>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</si>
  <si>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</si>
  <si>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</si>
  <si>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</si>
  <si>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</si>
  <si>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</si>
  <si>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</si>
  <si>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</si>
  <si>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</si>
  <si>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</si>
  <si>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</si>
  <si>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</si>
  <si>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</si>
  <si>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</si>
  <si>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</si>
  <si>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</si>
  <si>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</si>
  <si>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</si>
  <si>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</si>
  <si>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</si>
  <si>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</si>
  <si>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</si>
  <si>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</si>
  <si>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</si>
  <si>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</si>
  <si>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</si>
  <si>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</si>
  <si>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</si>
  <si>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</si>
  <si>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</si>
  <si>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</si>
  <si>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</si>
  <si>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</si>
  <si>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</si>
  <si>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</si>
  <si>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</si>
  <si>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</si>
  <si>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</si>
  <si>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</si>
  <si>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</si>
  <si>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</si>
  <si>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</si>
  <si>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</si>
  <si>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</si>
  <si>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</si>
  <si>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</si>
  <si>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</si>
  <si>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</si>
  <si>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</si>
  <si>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</si>
  <si>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</si>
  <si>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</si>
  <si>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</si>
  <si>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</si>
  <si>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</si>
  <si>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</si>
  <si>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</si>
  <si>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</si>
  <si>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</si>
  <si>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</si>
  <si>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</si>
  <si>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</si>
  <si>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</si>
  <si>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</si>
  <si>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</si>
  <si>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</si>
  <si>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</si>
  <si>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</si>
  <si>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</si>
  <si>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</si>
  <si>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</si>
  <si>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</si>
  <si>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</si>
  <si>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</si>
  <si>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</si>
  <si>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</si>
  <si>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</si>
  <si>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</si>
  <si>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</si>
  <si>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</si>
  <si>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</si>
  <si>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</si>
  <si>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</si>
  <si>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</si>
  <si>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</si>
  <si>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</si>
  <si>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</si>
  <si>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</si>
  <si>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</si>
  <si>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</si>
  <si>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</si>
  <si>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</si>
  <si>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</si>
  <si>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</si>
  <si>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</si>
  <si>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</si>
  <si>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</si>
  <si>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</si>
  <si>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</si>
  <si>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</si>
  <si>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</si>
  <si>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</si>
  <si>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</si>
  <si>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</si>
  <si>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</si>
  <si>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</si>
  <si>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</si>
  <si>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</si>
  <si>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</si>
  <si>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</si>
  <si>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</si>
  <si>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</si>
  <si>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</si>
  <si>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</si>
  <si>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</si>
  <si>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</si>
  <si>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</si>
  <si>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</si>
  <si>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</si>
  <si>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</si>
  <si>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</si>
  <si>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</si>
  <si>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</si>
  <si>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</si>
  <si>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</si>
  <si>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</si>
  <si>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</si>
  <si>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</si>
  <si>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</si>
  <si>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</si>
  <si>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</si>
  <si>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</si>
  <si>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</si>
  <si>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</si>
  <si>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</si>
  <si>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</si>
  <si>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</si>
  <si>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</si>
  <si>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</si>
  <si>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</si>
  <si>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</si>
  <si>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</si>
  <si>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</si>
  <si>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</si>
  <si>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</si>
  <si>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</si>
  <si>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</si>
  <si>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</si>
  <si>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</si>
  <si>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</si>
  <si>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</si>
  <si>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</si>
  <si>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</si>
  <si>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</si>
  <si>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</si>
  <si>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</si>
  <si>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</si>
  <si>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</si>
  <si>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</si>
  <si>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</si>
  <si>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</si>
  <si>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</si>
  <si>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</si>
  <si>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</si>
  <si>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</si>
  <si>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</si>
  <si>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</si>
  <si>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</si>
  <si>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</si>
  <si>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</si>
  <si>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</si>
  <si>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</si>
  <si>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</si>
  <si>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</si>
  <si>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</si>
  <si>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</si>
  <si>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</si>
  <si>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</si>
  <si>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</si>
  <si>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</si>
  <si>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</si>
  <si>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</si>
  <si>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</si>
  <si>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</si>
  <si>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</si>
  <si>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</si>
  <si>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</si>
  <si>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</si>
  <si>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</si>
  <si>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</si>
  <si>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</si>
  <si>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</si>
  <si>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</si>
  <si>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</si>
  <si>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</si>
  <si>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</si>
  <si>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</si>
  <si>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</si>
  <si>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</si>
  <si>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</si>
  <si>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</si>
  <si>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</si>
  <si>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</si>
  <si>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</si>
  <si>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</si>
  <si>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</si>
  <si>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</si>
  <si>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</si>
  <si>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</si>
  <si>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</si>
  <si>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</si>
  <si>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</si>
  <si>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</si>
  <si>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</si>
  <si>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</si>
  <si>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</si>
  <si>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</si>
  <si>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</si>
  <si>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</si>
  <si>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</si>
  <si>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</si>
  <si>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</si>
  <si>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</si>
  <si>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</si>
  <si>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</si>
  <si>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</si>
  <si>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</si>
  <si>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</si>
  <si>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</si>
  <si>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</si>
  <si>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</si>
  <si>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</si>
  <si>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</si>
  <si>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</si>
  <si>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</si>
  <si>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</si>
  <si>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</si>
  <si>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</si>
  <si>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</si>
  <si>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</si>
  <si>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</si>
  <si>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</si>
  <si>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</si>
  <si>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</si>
  <si>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</si>
  <si>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</si>
  <si>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</si>
  <si>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</si>
  <si>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</si>
  <si>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</si>
  <si>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</si>
  <si>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</si>
  <si>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</si>
  <si>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</si>
  <si>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</si>
  <si>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</si>
  <si>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</si>
  <si>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</si>
  <si>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</si>
  <si>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</si>
  <si>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</si>
  <si>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</si>
  <si>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</si>
  <si>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</si>
  <si>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</si>
  <si>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</si>
  <si>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</si>
  <si>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</si>
  <si>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</si>
  <si>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</si>
  <si>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</si>
  <si>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</si>
  <si>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</si>
  <si>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</si>
  <si>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</si>
  <si>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</si>
  <si>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</si>
  <si>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</si>
  <si>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</si>
  <si>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</si>
  <si>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</si>
  <si>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</si>
  <si>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</si>
  <si>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</si>
  <si>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</si>
  <si>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</si>
  <si>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</si>
  <si>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</si>
  <si>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</si>
  <si>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</si>
  <si>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</si>
  <si>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</si>
  <si>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</si>
  <si>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</si>
  <si>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</si>
  <si>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</si>
  <si>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</si>
  <si>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</si>
  <si>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</si>
  <si>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</si>
  <si>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</si>
  <si>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</si>
  <si>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</si>
  <si>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</si>
  <si>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</si>
  <si>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</si>
  <si>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</si>
  <si>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</si>
  <si>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</si>
  <si>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</si>
  <si>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</si>
  <si>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</si>
  <si>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</si>
  <si>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</si>
  <si>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</si>
  <si>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</si>
  <si>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</si>
  <si>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</si>
  <si>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</si>
  <si>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</si>
  <si>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</si>
  <si>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</si>
  <si>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</si>
  <si>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</si>
  <si>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</si>
  <si>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</si>
  <si>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</si>
  <si>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</si>
  <si>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</si>
  <si>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</si>
  <si>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</si>
  <si>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</si>
  <si>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</si>
  <si>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</si>
  <si>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</si>
  <si>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</si>
  <si>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</si>
  <si>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</si>
  <si>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</si>
  <si>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</si>
  <si>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</si>
  <si>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</si>
  <si>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</si>
  <si>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</si>
  <si>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</si>
  <si>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</si>
  <si>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</si>
  <si>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</si>
  <si>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</si>
  <si>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</si>
  <si>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</si>
  <si>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</si>
  <si>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</si>
  <si>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</si>
  <si>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</si>
  <si>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</si>
  <si>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</si>
  <si>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</si>
  <si>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</si>
  <si>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</si>
  <si>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</si>
  <si>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</si>
  <si>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</si>
  <si>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</si>
  <si>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</si>
  <si>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</si>
  <si>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</si>
  <si>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</si>
  <si>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</si>
  <si>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</si>
  <si>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</si>
  <si>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</si>
  <si>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</si>
  <si>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</si>
  <si>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</si>
  <si>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</si>
  <si>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</si>
  <si>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</si>
  <si>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</si>
  <si>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</si>
  <si>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</si>
  <si>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</si>
  <si>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</si>
  <si>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</si>
  <si>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</si>
  <si>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</si>
  <si>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</si>
  <si>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</si>
  <si>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</si>
  <si>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</si>
  <si>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</si>
  <si>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</si>
  <si>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</si>
  <si>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</si>
  <si>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</si>
  <si>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</si>
  <si>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</si>
  <si>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</si>
  <si>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</si>
  <si>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</si>
  <si>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</si>
  <si>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</si>
  <si>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</si>
  <si>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</si>
  <si>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</si>
  <si>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</si>
  <si>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</si>
  <si>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</si>
  <si>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</si>
  <si>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</si>
  <si>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</si>
  <si>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</si>
  <si>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</si>
  <si>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</si>
  <si>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</si>
  <si>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</si>
  <si>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</si>
  <si>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</si>
  <si>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</si>
  <si>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</si>
  <si>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</si>
  <si>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</si>
  <si>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</si>
  <si>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</si>
  <si>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</si>
  <si>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</si>
  <si>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</si>
  <si>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</si>
  <si>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</si>
  <si>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</si>
  <si>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</si>
  <si>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</si>
  <si>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</si>
  <si>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</si>
  <si>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</si>
  <si>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</si>
  <si>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</si>
  <si>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</si>
  <si>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</si>
  <si>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</si>
  <si>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</si>
  <si>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</si>
  <si>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</si>
  <si>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</si>
  <si>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</si>
  <si>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</si>
  <si>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</si>
  <si>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</si>
  <si>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</si>
  <si>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</si>
  <si>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</si>
  <si>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</si>
  <si>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</si>
  <si>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</si>
  <si>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</si>
  <si>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</si>
  <si>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</si>
  <si>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</si>
  <si>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</si>
  <si>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</si>
  <si>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</si>
  <si>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</si>
  <si>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</si>
  <si>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</si>
  <si>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</si>
  <si>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</si>
  <si>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</si>
  <si>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</si>
  <si>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</si>
  <si>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</si>
  <si>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</si>
  <si>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</si>
  <si>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</si>
  <si>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</si>
  <si>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</si>
  <si>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</si>
  <si>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</si>
  <si>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</si>
  <si>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</si>
  <si>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</si>
  <si>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</si>
  <si>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</si>
  <si>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</si>
  <si>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</si>
  <si>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</si>
  <si>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</si>
  <si>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</si>
  <si>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</si>
  <si>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</si>
  <si>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</si>
  <si>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</si>
  <si>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</si>
  <si>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</si>
  <si>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</si>
  <si>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</si>
  <si>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</si>
  <si>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</si>
  <si>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</si>
  <si>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</si>
  <si>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</si>
  <si>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</si>
  <si>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</si>
  <si>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</si>
  <si>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</si>
  <si>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</si>
  <si>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</si>
  <si>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</si>
  <si>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</si>
  <si>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</si>
  <si>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</si>
  <si>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</si>
  <si>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</si>
  <si>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</si>
  <si>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</si>
  <si>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</si>
  <si>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</si>
  <si>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</si>
  <si>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</si>
  <si>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</si>
  <si>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</si>
  <si>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</si>
  <si>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</si>
  <si>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</si>
  <si>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</si>
  <si>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</si>
  <si>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</si>
  <si>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</si>
  <si>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</si>
  <si>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</si>
  <si>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</si>
  <si>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</si>
  <si>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</si>
  <si>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</si>
  <si>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</si>
  <si>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</si>
  <si>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</si>
  <si>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</si>
  <si>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</si>
  <si>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</si>
  <si>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</si>
  <si>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</si>
  <si>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</si>
  <si>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</si>
  <si>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</si>
  <si>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</si>
  <si>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</si>
  <si>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</si>
  <si>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</si>
  <si>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</si>
  <si>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</si>
  <si>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</si>
  <si>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</si>
  <si>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</si>
  <si>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</si>
  <si>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</si>
  <si>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</si>
  <si>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</si>
  <si>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</si>
  <si>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</si>
  <si>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</si>
  <si>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</si>
  <si>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</si>
  <si>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</si>
  <si>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</si>
  <si>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</si>
  <si>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</si>
  <si>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</si>
  <si>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</si>
  <si>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</si>
  <si>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</si>
  <si>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</si>
  <si>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</si>
  <si>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</si>
  <si>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</si>
  <si>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</si>
  <si>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</si>
  <si>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</si>
  <si>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</si>
  <si>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</si>
  <si>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</si>
  <si>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</si>
  <si>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</si>
  <si>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</si>
  <si>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</si>
  <si>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</si>
  <si>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</si>
  <si>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</si>
  <si>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</si>
  <si>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</si>
  <si>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</si>
  <si>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</si>
  <si>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</si>
  <si>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</si>
  <si>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</si>
  <si>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</si>
  <si>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</si>
  <si>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</si>
  <si>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</si>
  <si>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</si>
  <si>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</si>
  <si>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</si>
  <si>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</si>
  <si>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</si>
  <si>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</si>
  <si>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</si>
  <si>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</si>
  <si>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</si>
  <si>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</si>
  <si>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</si>
  <si>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</si>
  <si>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</si>
  <si>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</si>
  <si>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</si>
  <si>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</si>
  <si>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</si>
  <si>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</si>
  <si>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</si>
  <si>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</si>
  <si>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</si>
  <si>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</si>
  <si>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</si>
  <si>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</si>
  <si>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</si>
  <si>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</si>
  <si>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</si>
  <si>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</si>
  <si>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</si>
  <si>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</si>
  <si>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</si>
  <si>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</si>
  <si>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</si>
  <si>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</si>
  <si>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</si>
  <si>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</si>
  <si>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</si>
  <si>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</si>
  <si>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</si>
  <si>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</si>
  <si>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</si>
  <si>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</si>
  <si>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</si>
  <si>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</si>
  <si>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</si>
  <si>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</si>
  <si>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</si>
  <si>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</si>
  <si>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</si>
  <si>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</si>
  <si>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</si>
  <si>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</si>
  <si>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</si>
  <si>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</si>
  <si>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</si>
  <si>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</si>
  <si>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</si>
  <si>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</si>
  <si>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</si>
  <si>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</si>
  <si>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</si>
  <si>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</si>
  <si>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</si>
  <si>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</si>
  <si>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</si>
  <si>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</si>
  <si>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</si>
  <si>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</si>
  <si>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</si>
  <si>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</si>
  <si>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</si>
  <si>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</si>
  <si>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</si>
  <si>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</si>
  <si>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</si>
  <si>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</si>
  <si>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</si>
  <si>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</si>
  <si>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</si>
  <si>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</si>
  <si>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</si>
  <si>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</si>
  <si>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</si>
  <si>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</si>
  <si>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</si>
  <si>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</si>
  <si>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</si>
  <si>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</si>
  <si>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</si>
  <si>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</si>
  <si>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</si>
  <si>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</si>
  <si>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</si>
  <si>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</si>
  <si>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</si>
  <si>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</si>
  <si>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</si>
  <si>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</si>
  <si>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</si>
  <si>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</si>
  <si>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</si>
  <si>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</si>
  <si>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</si>
  <si>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</si>
  <si>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</si>
  <si>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</si>
  <si>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</si>
  <si>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</si>
  <si>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</si>
  <si>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</si>
  <si>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</si>
  <si>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</si>
  <si>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</si>
  <si>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</si>
  <si>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</si>
  <si>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</si>
  <si>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</si>
  <si>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</si>
  <si>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</si>
  <si>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</si>
  <si>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</si>
  <si>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</si>
  <si>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</si>
  <si>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</si>
  <si>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</si>
  <si>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</si>
  <si>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</si>
  <si>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</si>
  <si>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</si>
  <si>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</si>
  <si>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</si>
  <si>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</si>
  <si>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</si>
  <si>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</si>
  <si>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</si>
  <si>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</si>
  <si>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</si>
  <si>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</si>
  <si>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</si>
  <si>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</si>
  <si>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</si>
  <si>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</si>
  <si>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</si>
  <si>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</si>
  <si>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</si>
  <si>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</si>
  <si>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</si>
  <si>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</si>
  <si>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</si>
  <si>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</si>
  <si>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</si>
  <si>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</si>
  <si>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</si>
  <si>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</si>
  <si>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</si>
  <si>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</si>
  <si>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</si>
  <si>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</si>
  <si>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</si>
  <si>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</si>
  <si>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</si>
  <si>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</si>
  <si>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</si>
  <si>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</si>
  <si>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</si>
  <si>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</si>
  <si>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</si>
  <si>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</si>
  <si>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</si>
  <si>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</si>
  <si>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</si>
  <si>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</si>
  <si>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</si>
  <si>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</si>
  <si>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</si>
  <si>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</si>
  <si>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</si>
  <si>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</si>
  <si>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</si>
  <si>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</si>
  <si>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</si>
  <si>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</si>
  <si>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</si>
  <si>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</si>
  <si>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</si>
  <si>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</si>
  <si>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</si>
  <si>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</si>
  <si>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</si>
  <si>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</si>
  <si>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</si>
  <si>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</si>
  <si>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</si>
  <si>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</si>
  <si>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</si>
  <si>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</si>
  <si>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</si>
  <si>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</si>
  <si>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</si>
  <si>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</si>
  <si>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</si>
  <si>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</si>
  <si>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</si>
  <si>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</si>
  <si>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</si>
  <si>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</si>
  <si>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</si>
  <si>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</si>
  <si>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</si>
  <si>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</si>
  <si>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</si>
  <si>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</si>
  <si>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</si>
  <si>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</si>
  <si>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</si>
  <si>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</si>
  <si>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</si>
  <si>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</si>
  <si>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</si>
  <si>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</si>
  <si>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</si>
  <si>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</si>
  <si>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</si>
  <si>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</si>
  <si>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</si>
  <si>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</si>
  <si>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</si>
  <si>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</si>
  <si>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</si>
  <si>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</si>
  <si>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</si>
  <si>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</si>
  <si>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</si>
  <si>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</si>
  <si>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</si>
  <si>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</si>
  <si>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</si>
  <si>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</si>
  <si>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</si>
  <si>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</si>
  <si>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</si>
  <si>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</si>
  <si>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</si>
  <si>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</si>
  <si>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</si>
  <si>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</si>
  <si>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</si>
  <si>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</si>
  <si>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</si>
  <si>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</si>
  <si>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</si>
  <si>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</si>
  <si>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</si>
  <si>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</si>
  <si>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</si>
  <si>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</si>
  <si>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</si>
  <si>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</si>
  <si>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</si>
  <si>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</si>
  <si>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</si>
  <si>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</si>
  <si>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</si>
  <si>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</si>
  <si>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</si>
  <si>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</si>
  <si>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</si>
  <si>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</si>
  <si>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</si>
  <si>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</si>
  <si>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</si>
  <si>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</si>
  <si>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</si>
  <si>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</si>
  <si>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</si>
  <si>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</si>
  <si>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</si>
  <si>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</si>
  <si>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</si>
  <si>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</si>
  <si>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</si>
  <si>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</si>
  <si>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</si>
  <si>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</si>
  <si>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</si>
  <si>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</si>
  <si>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</si>
  <si>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</si>
  <si>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</si>
  <si>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</si>
  <si>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</si>
  <si>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</si>
  <si>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</si>
  <si>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</si>
  <si>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</si>
  <si>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</si>
  <si>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</si>
  <si>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</si>
  <si>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</si>
  <si>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</si>
  <si>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</si>
  <si>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</si>
  <si>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</si>
  <si>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</si>
  <si>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</si>
  <si>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</si>
  <si>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</si>
  <si>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</si>
  <si>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</si>
  <si>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</si>
  <si>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</si>
  <si>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</si>
  <si>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</si>
  <si>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</si>
  <si>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</si>
  <si>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</si>
  <si>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</si>
  <si>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</si>
  <si>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</si>
  <si>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</si>
  <si>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</si>
  <si>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</si>
  <si>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</si>
  <si>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</si>
  <si>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</si>
  <si>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</si>
  <si>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</si>
  <si>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</si>
  <si>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</si>
  <si>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</si>
  <si>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</si>
  <si>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</si>
  <si>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</si>
  <si>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</si>
  <si>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</si>
  <si>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</si>
  <si>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</si>
  <si>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</si>
  <si>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</si>
  <si>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</si>
  <si>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</si>
  <si>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</si>
  <si>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</si>
  <si>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</si>
  <si>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</si>
  <si>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</si>
  <si>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</si>
  <si>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</si>
  <si>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</si>
  <si>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</si>
  <si>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</si>
  <si>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</si>
  <si>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</si>
  <si>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</si>
  <si>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</si>
  <si>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</si>
  <si>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</si>
  <si>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</si>
  <si>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</si>
  <si>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</si>
  <si>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</si>
  <si>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</si>
  <si>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</si>
  <si>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</si>
  <si>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</si>
  <si>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</si>
  <si>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</si>
  <si>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</si>
  <si>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</si>
  <si>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</si>
  <si>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</si>
  <si>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</si>
  <si>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</si>
  <si>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</si>
  <si>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</si>
  <si>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</si>
  <si>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</si>
  <si>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</si>
  <si>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</si>
  <si>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</si>
  <si>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</si>
  <si>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</si>
  <si>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</si>
  <si>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</si>
  <si>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</si>
  <si>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</si>
  <si>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</si>
  <si>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</si>
  <si>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</si>
  <si>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</si>
  <si>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</si>
  <si>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</si>
  <si>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</si>
  <si>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</si>
  <si>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</si>
  <si>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</si>
  <si>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</si>
  <si>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</si>
  <si>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</si>
  <si>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</si>
  <si>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</si>
  <si>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</si>
  <si>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</si>
  <si>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</si>
  <si>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</si>
  <si>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</si>
  <si>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</si>
  <si>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</si>
  <si>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</si>
  <si>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</si>
  <si>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</si>
  <si>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</si>
  <si>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</si>
  <si>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</si>
  <si>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</si>
  <si>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</si>
  <si>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</si>
  <si>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</si>
  <si>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</si>
  <si>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</si>
  <si>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</si>
  <si>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</si>
  <si>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</si>
  <si>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</si>
  <si>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</si>
  <si>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</si>
  <si>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</si>
  <si>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</si>
  <si>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</si>
  <si>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</si>
  <si>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</si>
  <si>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</si>
  <si>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</si>
  <si>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</si>
  <si>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</si>
  <si>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</si>
  <si>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</si>
  <si>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</si>
  <si>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</si>
  <si>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</si>
  <si>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</si>
  <si>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</si>
  <si>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</si>
  <si>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</si>
  <si>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</si>
  <si>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</si>
  <si>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</si>
  <si>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</si>
  <si>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</si>
  <si>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</si>
  <si>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</si>
  <si>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</si>
  <si>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</si>
  <si>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</si>
  <si>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</si>
  <si>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</si>
  <si>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</si>
  <si>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</si>
  <si>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</si>
  <si>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</si>
  <si>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</si>
  <si>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</si>
  <si>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</si>
  <si>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</si>
  <si>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</si>
  <si>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</si>
  <si>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</si>
  <si>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</si>
  <si>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</si>
  <si>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</si>
  <si>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</si>
  <si>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</si>
  <si>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</si>
  <si>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</si>
  <si>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</si>
  <si>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</si>
  <si>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</si>
  <si>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</si>
  <si>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</si>
  <si>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</si>
  <si>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</si>
  <si>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</si>
  <si>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</si>
  <si>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</si>
  <si>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</si>
  <si>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</si>
  <si>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</si>
  <si>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</si>
  <si>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</si>
  <si>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</si>
  <si>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</si>
  <si>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</si>
  <si>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</si>
  <si>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</si>
  <si>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</si>
  <si>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</si>
  <si>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</si>
  <si>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</si>
  <si>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</si>
  <si>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</si>
  <si>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</si>
  <si>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</si>
  <si>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</si>
  <si>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</si>
  <si>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</si>
  <si>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</si>
  <si>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</si>
  <si>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</si>
  <si>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</si>
  <si>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</si>
  <si>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</si>
  <si>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</si>
  <si>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</si>
  <si>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</si>
  <si>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</si>
  <si>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</si>
  <si>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</si>
  <si>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</si>
  <si>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</si>
  <si>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</si>
  <si>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</si>
  <si>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</si>
  <si>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</si>
  <si>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</si>
  <si>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</si>
  <si>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</si>
  <si>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</si>
  <si>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</si>
  <si>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</si>
  <si>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</si>
  <si>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</si>
  <si>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</si>
  <si>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</si>
  <si>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</si>
  <si>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</si>
  <si>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</si>
  <si>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</si>
  <si>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</si>
  <si>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</si>
  <si>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</si>
  <si>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</si>
  <si>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</si>
  <si>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</si>
  <si>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</si>
  <si>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</si>
  <si>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</si>
  <si>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</si>
  <si>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</si>
  <si>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</si>
  <si>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</si>
  <si>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</si>
  <si>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</si>
  <si>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</si>
  <si>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</si>
  <si>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</si>
  <si>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</si>
  <si>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</si>
  <si>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</si>
  <si>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</si>
  <si>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</si>
  <si>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</si>
  <si>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</si>
  <si>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</si>
  <si>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</si>
  <si>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</si>
  <si>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</si>
  <si>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</si>
  <si>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</si>
  <si>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</si>
  <si>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</si>
  <si>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</si>
  <si>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</si>
  <si>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</si>
  <si>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</si>
  <si>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</si>
  <si>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</si>
  <si>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</si>
  <si>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</si>
  <si>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</si>
  <si>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</si>
  <si>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</si>
  <si>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</si>
  <si>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</si>
  <si>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</si>
  <si>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</si>
  <si>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</si>
  <si>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</si>
  <si>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</si>
  <si>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</si>
  <si>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</si>
  <si>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</si>
  <si>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</si>
  <si>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</si>
  <si>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</si>
  <si>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</si>
  <si>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</si>
  <si>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</si>
  <si>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</si>
  <si>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</si>
  <si>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</si>
  <si>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</si>
  <si>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</si>
  <si>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</si>
  <si>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</si>
  <si>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</si>
  <si>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</si>
  <si>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</si>
  <si>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</si>
  <si>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</si>
  <si>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</si>
  <si>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</si>
  <si>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</si>
  <si>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</si>
  <si>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</si>
  <si>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</si>
  <si>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</si>
  <si>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</si>
  <si>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</si>
  <si>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</si>
  <si>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</si>
  <si>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</si>
  <si>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</si>
  <si>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</si>
  <si>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</si>
  <si>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</si>
  <si>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</si>
  <si>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</si>
  <si>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</si>
  <si>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</si>
  <si>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</si>
  <si>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</si>
  <si>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</si>
  <si>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</si>
  <si>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</si>
  <si>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</si>
  <si>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</si>
  <si>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</si>
  <si>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</si>
  <si>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</si>
  <si>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</si>
  <si>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</si>
  <si>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</si>
  <si>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</si>
  <si>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</si>
  <si>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</si>
  <si>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</si>
  <si>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</si>
  <si>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</si>
  <si>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</si>
  <si>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</si>
  <si>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</si>
  <si>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</si>
  <si>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</si>
  <si>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</si>
  <si>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</si>
  <si>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</si>
  <si>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</si>
  <si>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</si>
  <si>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</si>
  <si>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</si>
  <si>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</si>
  <si>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</si>
  <si>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</si>
  <si>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</si>
  <si>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</si>
  <si>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</si>
  <si>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</si>
  <si>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</si>
  <si>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</si>
  <si>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</si>
  <si>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</si>
  <si>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</si>
  <si>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</si>
  <si>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</si>
  <si>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</si>
  <si>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</si>
  <si>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</si>
  <si>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</si>
  <si>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</si>
  <si>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</si>
  <si>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</si>
  <si>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</si>
  <si>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</si>
  <si>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</si>
  <si>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</si>
  <si>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</si>
  <si>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</si>
  <si>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</si>
  <si>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</si>
  <si>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</si>
  <si>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</si>
  <si>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</si>
  <si>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</si>
  <si>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</si>
  <si>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</si>
  <si>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</si>
  <si>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</si>
  <si>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</si>
  <si>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</si>
  <si>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</si>
  <si>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</si>
  <si>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</si>
  <si>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</si>
  <si>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</si>
  <si>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</si>
  <si>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</si>
  <si>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</si>
  <si>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</si>
  <si>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</si>
  <si>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</si>
  <si>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</si>
  <si>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</si>
  <si>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</si>
  <si>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</si>
  <si>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</si>
  <si>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</si>
  <si>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</si>
  <si>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</si>
  <si>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</si>
  <si>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</si>
  <si>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</si>
  <si>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</si>
  <si>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</si>
  <si>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</si>
  <si>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</si>
  <si>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</si>
  <si>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</si>
  <si>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</si>
  <si>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</si>
  <si>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</si>
  <si>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</si>
  <si>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</si>
  <si>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</si>
  <si>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</si>
  <si>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</si>
  <si>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</si>
  <si>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</si>
  <si>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</si>
  <si>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</si>
  <si>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</si>
  <si>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</si>
  <si>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</si>
  <si>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</si>
  <si>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</si>
  <si>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</si>
  <si>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</si>
  <si>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</si>
  <si>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</si>
  <si>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</si>
  <si>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</si>
  <si>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</si>
  <si>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</si>
  <si>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</si>
  <si>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</si>
  <si>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</si>
  <si>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</si>
  <si>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</si>
  <si>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</si>
  <si>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</si>
  <si>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</si>
  <si>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</si>
  <si>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</si>
  <si>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</si>
  <si>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</si>
  <si>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</si>
  <si>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</si>
  <si>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</si>
  <si>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</si>
  <si>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</si>
  <si>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</si>
  <si>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</si>
  <si>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</si>
  <si>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</si>
  <si>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</si>
  <si>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</si>
  <si>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</si>
  <si>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</si>
  <si>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</si>
  <si>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</si>
  <si>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</si>
  <si>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</si>
  <si>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</si>
  <si>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</si>
  <si>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</si>
  <si>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</si>
  <si>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</si>
  <si>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</si>
  <si>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</si>
  <si>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</si>
  <si>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</si>
  <si>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</si>
  <si>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</si>
  <si>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</si>
  <si>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</si>
  <si>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</si>
  <si>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</si>
  <si>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</si>
  <si>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</si>
  <si>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</si>
  <si>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</si>
  <si>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</si>
  <si>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</si>
  <si>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</si>
  <si>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</si>
  <si>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</si>
  <si>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</si>
  <si>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</si>
  <si>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</si>
  <si>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</si>
  <si>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</si>
  <si>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</si>
  <si>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</si>
  <si>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</si>
  <si>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</si>
  <si>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</si>
  <si>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</si>
  <si>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</si>
  <si>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</si>
  <si>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</si>
  <si>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</si>
  <si>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</si>
  <si>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</si>
  <si>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</si>
  <si>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</si>
  <si>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</si>
  <si>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</si>
  <si>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</si>
  <si>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</si>
  <si>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</si>
  <si>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</si>
  <si>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</si>
  <si>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</si>
  <si>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</si>
  <si>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</si>
  <si>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</si>
  <si>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</si>
  <si>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</si>
  <si>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</si>
  <si>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</si>
  <si>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</si>
  <si>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</si>
  <si>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</si>
  <si>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</si>
  <si>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</si>
  <si>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</si>
  <si>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</si>
  <si>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</si>
  <si>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</si>
  <si>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</si>
  <si>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</si>
  <si>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</si>
  <si>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</si>
  <si>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</si>
  <si>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</si>
  <si>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</si>
  <si>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</si>
  <si>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</si>
  <si>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</si>
  <si>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</si>
  <si>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</si>
  <si>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</si>
  <si>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</si>
  <si>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</si>
  <si>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</si>
  <si>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</si>
  <si>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</si>
  <si>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</si>
  <si>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</si>
  <si>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</si>
  <si>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</si>
  <si>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</si>
  <si>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</si>
  <si>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</si>
  <si>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</si>
  <si>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</si>
  <si>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</si>
  <si>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</si>
  <si>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</si>
  <si>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</si>
  <si>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</si>
  <si>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</si>
  <si>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</si>
  <si>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</si>
  <si>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</si>
  <si>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</si>
  <si>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</si>
  <si>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</si>
  <si>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</si>
  <si>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</si>
  <si>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</si>
  <si>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</si>
  <si>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</si>
  <si>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</si>
  <si>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</si>
  <si>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</si>
  <si>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</si>
  <si>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</si>
  <si>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</si>
  <si>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</si>
  <si>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</si>
  <si>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</si>
  <si>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</si>
  <si>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</si>
  <si>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</si>
  <si>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</si>
  <si>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</si>
  <si>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</si>
  <si>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</si>
  <si>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</si>
  <si>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</si>
  <si>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</si>
  <si>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</si>
  <si>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</si>
  <si>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</si>
  <si>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</si>
  <si>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</si>
  <si>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</si>
  <si>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</si>
  <si>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</si>
  <si>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</si>
  <si>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</si>
  <si>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</si>
  <si>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</si>
  <si>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</si>
  <si>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</si>
  <si>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</si>
  <si>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</si>
  <si>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</si>
  <si>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</si>
  <si>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</si>
  <si>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</si>
  <si>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</si>
  <si>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</si>
  <si>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</si>
  <si>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</si>
  <si>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</si>
  <si>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</si>
  <si>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</si>
  <si>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</si>
  <si>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</si>
  <si>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</si>
  <si>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</si>
  <si>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</si>
  <si>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</si>
  <si>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</si>
  <si>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</si>
  <si>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</si>
  <si>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</si>
  <si>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</si>
  <si>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</si>
  <si>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</si>
  <si>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</si>
  <si>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</si>
  <si>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</si>
  <si>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</si>
  <si>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</si>
  <si>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</si>
  <si>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</si>
  <si>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</si>
  <si>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</si>
  <si>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</si>
  <si>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</si>
  <si>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</si>
  <si>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</si>
  <si>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</si>
  <si>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</si>
  <si>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</si>
  <si>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</si>
  <si>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</si>
  <si>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</si>
  <si>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</si>
  <si>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</si>
  <si>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</si>
  <si>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</si>
  <si>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</si>
  <si>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</si>
  <si>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</si>
  <si>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</si>
  <si>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</si>
  <si>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</si>
  <si>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</si>
  <si>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</si>
  <si>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</si>
  <si>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</si>
  <si>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</si>
  <si>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</si>
  <si>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</si>
  <si>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</si>
  <si>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</si>
  <si>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</si>
  <si>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</si>
  <si>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</si>
  <si>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</si>
  <si>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</si>
  <si>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</si>
  <si>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</si>
  <si>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</si>
  <si>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</si>
  <si>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</si>
  <si>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</si>
  <si>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</si>
  <si>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</si>
  <si>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</si>
  <si>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</si>
  <si>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</si>
  <si>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</si>
  <si>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</si>
  <si>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</si>
  <si>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</si>
  <si>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</si>
  <si>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</si>
  <si>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</si>
  <si>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</si>
  <si>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</si>
  <si>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</si>
  <si>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</si>
  <si>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</si>
  <si>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</si>
  <si>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</si>
  <si>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</si>
  <si>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</si>
  <si>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</si>
  <si>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</si>
  <si>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</si>
  <si>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</si>
  <si>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</si>
  <si>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</si>
  <si>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</si>
  <si>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</si>
  <si>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</si>
  <si>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</si>
  <si>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</si>
  <si>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</si>
  <si>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</si>
  <si>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</si>
  <si>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</si>
  <si>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</si>
  <si>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</si>
  <si>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</si>
  <si>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</si>
  <si>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</si>
  <si>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</si>
  <si>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</si>
  <si>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</si>
  <si>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</si>
  <si>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</si>
  <si>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</si>
  <si>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</si>
  <si>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</si>
  <si>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</si>
  <si>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</si>
  <si>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</si>
  <si>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</si>
  <si>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</si>
  <si>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</si>
  <si>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</si>
  <si>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</si>
  <si>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</si>
  <si>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</si>
  <si>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</si>
  <si>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</si>
  <si>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</si>
  <si>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</si>
  <si>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</si>
  <si>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</si>
  <si>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</si>
  <si>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</si>
  <si>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</si>
  <si>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</si>
  <si>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</si>
  <si>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</si>
  <si>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</si>
  <si>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</si>
  <si>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</si>
  <si>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</si>
  <si>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</si>
  <si>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</si>
  <si>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</si>
  <si>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</si>
  <si>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</si>
  <si>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</si>
  <si>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</si>
  <si>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</si>
  <si>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</si>
  <si>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</si>
  <si>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</si>
  <si>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</si>
  <si>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</si>
  <si>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</si>
  <si>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</si>
  <si>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</si>
  <si>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</si>
  <si>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</si>
  <si>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</si>
  <si>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</si>
  <si>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</si>
  <si>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</si>
  <si>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</si>
  <si>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</si>
  <si>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</si>
  <si>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</si>
  <si>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</si>
  <si>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</si>
  <si>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</si>
  <si>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</si>
  <si>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</si>
  <si>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</si>
  <si>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</si>
  <si>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</si>
  <si>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</si>
  <si>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</si>
  <si>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</si>
  <si>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</si>
  <si>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</si>
  <si>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</si>
  <si>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</si>
  <si>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</si>
  <si>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</si>
  <si>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</si>
  <si>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</si>
  <si>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</si>
  <si>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</si>
  <si>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</si>
  <si>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</si>
  <si>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</si>
  <si>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</si>
  <si>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</si>
  <si>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</si>
  <si>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</si>
  <si>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</si>
  <si>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</si>
  <si>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</si>
  <si>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</si>
  <si>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</si>
  <si>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</si>
  <si>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</si>
  <si>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</si>
  <si>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</si>
  <si>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</si>
  <si>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</si>
  <si>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</si>
  <si>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</si>
  <si>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</si>
  <si>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</si>
  <si>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</si>
  <si>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</si>
  <si>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</si>
  <si>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</si>
  <si>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</si>
  <si>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</si>
  <si>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</si>
  <si>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</si>
  <si>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</si>
  <si>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</si>
  <si>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</si>
  <si>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</si>
  <si>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</si>
  <si>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</si>
  <si>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</si>
  <si>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</si>
  <si>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</si>
  <si>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</si>
  <si>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</si>
  <si>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</si>
  <si>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</si>
  <si>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</si>
  <si>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</si>
  <si>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</si>
  <si>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</si>
  <si>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</si>
  <si>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</si>
  <si>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</si>
  <si>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</si>
  <si>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</si>
  <si>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</si>
  <si>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</si>
  <si>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</si>
  <si>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</si>
  <si>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</si>
  <si>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</si>
  <si>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</si>
  <si>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</si>
  <si>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</si>
  <si>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</si>
  <si>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</si>
  <si>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</si>
  <si>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</si>
  <si>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</si>
  <si>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</si>
  <si>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</si>
  <si>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</si>
  <si>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</si>
  <si>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</si>
  <si>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</si>
  <si>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</si>
  <si>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</si>
  <si>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</si>
  <si>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</si>
  <si>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</si>
  <si>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</si>
  <si>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</si>
  <si>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</si>
  <si>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</si>
  <si>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</si>
  <si>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</si>
  <si>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</si>
  <si>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</si>
  <si>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</si>
  <si>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</si>
  <si>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</si>
  <si>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</si>
  <si>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</si>
  <si>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</si>
  <si>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</si>
  <si>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</si>
  <si>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</si>
  <si>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</si>
  <si>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</si>
  <si>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</si>
  <si>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</si>
  <si>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</si>
  <si>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</si>
  <si>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</si>
  <si>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</si>
  <si>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</si>
  <si>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</si>
  <si>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</si>
  <si>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</si>
  <si>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</si>
  <si>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</si>
  <si>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</si>
  <si>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</si>
  <si>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</si>
  <si>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</si>
  <si>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</si>
  <si>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</si>
  <si>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</si>
  <si>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</si>
  <si>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</si>
  <si>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</si>
  <si>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</si>
  <si>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</si>
  <si>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</si>
  <si>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</si>
  <si>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</si>
  <si>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</si>
  <si>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</si>
  <si>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</si>
  <si>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</si>
  <si>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</si>
  <si>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</si>
  <si>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</si>
  <si>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</si>
  <si>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</si>
  <si>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</si>
  <si>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</si>
  <si>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</si>
  <si>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</si>
  <si>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</si>
  <si>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</si>
  <si>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</si>
  <si>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</si>
  <si>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</si>
  <si>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</si>
  <si>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</si>
  <si>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</si>
  <si>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</si>
  <si>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</si>
  <si>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</si>
  <si>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</si>
  <si>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</si>
  <si>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</si>
  <si>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</si>
  <si>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</si>
  <si>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</si>
  <si>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</si>
  <si>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</si>
  <si>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</si>
  <si>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</si>
  <si>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</si>
  <si>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</si>
  <si>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</si>
  <si>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</si>
  <si>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</si>
  <si>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</si>
  <si>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</si>
  <si>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</si>
  <si>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</si>
  <si>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</si>
  <si>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</si>
  <si>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</si>
  <si>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</si>
  <si>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</si>
  <si>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</si>
  <si>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</si>
  <si>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</si>
  <si>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</si>
  <si>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</si>
  <si>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</si>
  <si>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</si>
  <si>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</si>
  <si>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</si>
  <si>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</si>
  <si>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</si>
  <si>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</si>
  <si>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</si>
  <si>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</si>
  <si>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</si>
  <si>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</si>
  <si>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</si>
  <si>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</si>
  <si>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</si>
  <si>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</si>
  <si>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</si>
  <si>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</si>
  <si>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</si>
  <si>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</si>
  <si>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</si>
  <si>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</si>
  <si>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</si>
  <si>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</si>
  <si>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</si>
  <si>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</si>
  <si>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</si>
  <si>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</si>
  <si>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</si>
  <si>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</si>
  <si>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</si>
  <si>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</si>
  <si>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</si>
  <si>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</si>
  <si>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</si>
  <si>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</si>
  <si>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</si>
  <si>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</si>
  <si>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</si>
  <si>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</si>
  <si>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</si>
  <si>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</si>
  <si>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</si>
  <si>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</si>
  <si>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</si>
  <si>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</si>
  <si>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</si>
  <si>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</si>
  <si>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</si>
  <si>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</si>
  <si>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</si>
  <si>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</si>
  <si>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</si>
  <si>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</si>
  <si>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</si>
  <si>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</si>
  <si>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</si>
  <si>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</si>
  <si>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</si>
  <si>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</si>
  <si>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</si>
  <si>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</si>
  <si>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</si>
  <si>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</si>
  <si>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</si>
  <si>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</si>
  <si>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</si>
  <si>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</si>
  <si>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</si>
  <si>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</si>
  <si>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</si>
  <si>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</si>
  <si>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</si>
  <si>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</si>
  <si>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</si>
  <si>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</si>
  <si>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</si>
  <si>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</si>
  <si>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</si>
  <si>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</si>
  <si>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</si>
  <si>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</si>
  <si>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</si>
  <si>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</si>
  <si>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</si>
  <si>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</si>
  <si>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</si>
  <si>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</si>
  <si>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</si>
  <si>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</si>
  <si>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</si>
  <si>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</si>
  <si>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</si>
  <si>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</si>
  <si>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</si>
  <si>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</si>
  <si>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</si>
  <si>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</si>
  <si>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</si>
  <si>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</si>
  <si>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</si>
  <si>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</si>
  <si>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</si>
  <si>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</si>
  <si>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</si>
  <si>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</si>
  <si>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</si>
  <si>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</si>
  <si>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</si>
  <si>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</si>
  <si>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</si>
  <si>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</si>
  <si>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</si>
  <si>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</si>
  <si>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</si>
  <si>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</si>
  <si>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</si>
  <si>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</si>
  <si>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</si>
  <si>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</si>
  <si>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</si>
  <si>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</si>
  <si>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</si>
  <si>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</si>
  <si>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</si>
  <si>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</si>
  <si>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</si>
  <si>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</si>
  <si>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</si>
  <si>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</si>
  <si>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</si>
  <si>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</si>
  <si>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</si>
  <si>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</si>
  <si>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</si>
  <si>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</si>
  <si>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</si>
  <si>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</si>
  <si>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</si>
  <si>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</si>
  <si>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</si>
  <si>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</si>
  <si>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</si>
  <si>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</si>
  <si>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</si>
  <si>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</si>
  <si>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</si>
  <si>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</si>
  <si>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</si>
  <si>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</si>
  <si>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</si>
  <si>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</si>
  <si>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</si>
  <si>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</si>
  <si>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</si>
  <si>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</si>
  <si>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</si>
  <si>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</si>
  <si>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</si>
  <si>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</si>
  <si>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</si>
  <si>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</si>
  <si>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</si>
  <si>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</si>
  <si>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</si>
  <si>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</si>
  <si>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</si>
  <si>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</si>
  <si>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</si>
  <si>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</si>
  <si>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</si>
  <si>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</si>
  <si>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</si>
  <si>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</si>
  <si>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</si>
  <si>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</si>
  <si>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</si>
  <si>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</si>
  <si>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</si>
  <si>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</si>
  <si>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</si>
  <si>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</si>
  <si>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</si>
  <si>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</si>
  <si>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</si>
  <si>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</si>
  <si>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</si>
  <si>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</si>
  <si>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</si>
  <si>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</si>
  <si>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</si>
  <si>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</si>
  <si>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</si>
  <si>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</si>
  <si>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</si>
  <si>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</si>
  <si>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</si>
  <si>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</si>
  <si>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</si>
  <si>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</si>
  <si>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</si>
  <si>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</si>
  <si>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</si>
  <si>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</si>
  <si>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</si>
  <si>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</si>
  <si>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</si>
  <si>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</si>
  <si>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</si>
  <si>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</si>
  <si>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</si>
  <si>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</si>
  <si>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</si>
  <si>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</si>
  <si>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</si>
  <si>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</si>
  <si>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</si>
  <si>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</si>
  <si>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</si>
  <si>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</si>
  <si>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</si>
  <si>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</si>
  <si>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</si>
  <si>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</si>
  <si>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</si>
  <si>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</si>
  <si>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</si>
  <si>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</si>
  <si>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</si>
  <si>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</si>
  <si>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</si>
  <si>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</si>
  <si>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</si>
  <si>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</si>
  <si>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</si>
  <si>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</si>
  <si>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</si>
  <si>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</si>
  <si>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</si>
  <si>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</si>
  <si>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</si>
  <si>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</si>
  <si>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</si>
  <si>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</si>
  <si>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</si>
  <si>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</si>
  <si>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</si>
  <si>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</si>
  <si>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</si>
  <si>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</si>
  <si>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</si>
  <si>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</si>
  <si>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</si>
  <si>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</si>
  <si>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</si>
  <si>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</si>
  <si>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</si>
  <si>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</si>
  <si>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</si>
  <si>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</si>
  <si>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</si>
  <si>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</si>
  <si>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</si>
  <si>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</si>
  <si>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</si>
  <si>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</si>
  <si>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</si>
  <si>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</si>
  <si>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</si>
  <si>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</si>
  <si>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</si>
  <si>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</si>
  <si>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</si>
  <si>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</si>
  <si>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</si>
  <si>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</si>
  <si>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</si>
  <si>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</si>
  <si>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</si>
  <si>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</si>
  <si>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</si>
  <si>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</si>
  <si>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</si>
  <si>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</si>
  <si>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</si>
  <si>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</si>
  <si>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</si>
  <si>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</si>
  <si>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</si>
  <si>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</si>
  <si>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</si>
  <si>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</si>
  <si>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</si>
  <si>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</si>
  <si>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</si>
  <si>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</si>
  <si>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</si>
  <si>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</si>
  <si>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</si>
  <si>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</si>
  <si>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</si>
  <si>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</si>
  <si>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</si>
  <si>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</si>
  <si>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</si>
  <si>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</si>
  <si>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</si>
  <si>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</si>
  <si>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</si>
  <si>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</si>
  <si>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</si>
  <si>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</si>
  <si>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</si>
  <si>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</si>
  <si>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</si>
  <si>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</si>
  <si>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</si>
  <si>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</si>
  <si>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</si>
  <si>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</si>
  <si>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</si>
  <si>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</si>
  <si>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</si>
  <si>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</si>
  <si>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</si>
  <si>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</si>
  <si>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</si>
  <si>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</si>
  <si>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</si>
  <si>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</si>
  <si>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</si>
  <si>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</si>
  <si>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</si>
  <si>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</si>
  <si>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</si>
  <si>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</si>
  <si>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</si>
  <si>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</si>
  <si>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</si>
  <si>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</si>
  <si>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</si>
  <si>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</si>
  <si>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</si>
  <si>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</si>
  <si>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</si>
  <si>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</si>
  <si>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</si>
  <si>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</si>
  <si>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</si>
  <si>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</si>
  <si>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</si>
  <si>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</si>
  <si>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</si>
  <si>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</si>
  <si>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</si>
  <si>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</si>
  <si>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</si>
  <si>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</si>
  <si>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</si>
  <si>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</si>
  <si>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</si>
  <si>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</si>
  <si>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</si>
  <si>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</si>
  <si>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</si>
  <si>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</si>
  <si>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</si>
  <si>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</si>
  <si>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</si>
  <si>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</si>
  <si>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</si>
  <si>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</si>
  <si>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</si>
  <si>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</si>
  <si>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</si>
  <si>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</si>
  <si>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</si>
  <si>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</si>
  <si>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</si>
  <si>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</si>
  <si>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</si>
  <si>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</si>
  <si>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</si>
  <si>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</si>
  <si>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</si>
  <si>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</si>
  <si>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</si>
  <si>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</si>
  <si>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</si>
  <si>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</si>
  <si>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</si>
  <si>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</si>
  <si>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</si>
  <si>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</si>
  <si>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</si>
  <si>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</si>
  <si>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</si>
  <si>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</si>
  <si>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</si>
  <si>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</si>
  <si>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</si>
  <si>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</si>
  <si>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</si>
  <si>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</si>
  <si>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</si>
  <si>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</si>
  <si>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</si>
  <si>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</si>
  <si>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</si>
  <si>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</si>
  <si>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</si>
  <si>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</si>
  <si>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</si>
  <si>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</si>
  <si>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</si>
  <si>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</si>
  <si>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</si>
  <si>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</si>
  <si>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</si>
  <si>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</si>
  <si>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</si>
  <si>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</si>
  <si>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</si>
  <si>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</si>
  <si>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</si>
  <si>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</si>
  <si>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</si>
  <si>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</si>
  <si>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</si>
  <si>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</si>
  <si>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</si>
  <si>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</si>
  <si>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</si>
  <si>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</si>
  <si>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</si>
  <si>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</si>
  <si>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</si>
  <si>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</si>
  <si>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</si>
  <si>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</si>
  <si>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</si>
  <si>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</si>
  <si>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</si>
  <si>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</si>
  <si>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</si>
  <si>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</si>
  <si>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</si>
  <si>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</si>
  <si>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</si>
  <si>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</si>
  <si>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</si>
  <si>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</si>
  <si>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</si>
  <si>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</si>
  <si>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</si>
  <si>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</si>
  <si>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</si>
  <si>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</si>
  <si>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</si>
  <si>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</si>
  <si>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</si>
  <si>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</si>
  <si>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</si>
  <si>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</si>
  <si>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</si>
  <si>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</si>
  <si>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</si>
  <si>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</si>
  <si>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</si>
  <si>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</si>
  <si>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</si>
  <si>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</si>
  <si>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</si>
  <si>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</si>
  <si>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</si>
  <si>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</si>
  <si>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</si>
  <si>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</si>
  <si>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</si>
  <si>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</si>
  <si>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</si>
  <si>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</si>
  <si>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</si>
  <si>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</si>
  <si>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</si>
  <si>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</si>
  <si>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</si>
  <si>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</si>
  <si>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</si>
  <si>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</si>
  <si>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</si>
  <si>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</si>
  <si>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</si>
  <si>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</si>
  <si>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</si>
  <si>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</si>
  <si>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</si>
  <si>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</si>
  <si>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</si>
  <si>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</si>
  <si>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</si>
  <si>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</si>
  <si>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</si>
  <si>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</si>
  <si>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</si>
  <si>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</si>
  <si>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</si>
  <si>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</si>
  <si>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</si>
  <si>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</si>
  <si>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</si>
  <si>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</si>
  <si>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</si>
  <si>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</si>
  <si>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</si>
  <si>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</si>
  <si>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</si>
  <si>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</si>
  <si>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</si>
  <si>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</si>
  <si>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</si>
  <si>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</si>
  <si>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</si>
  <si>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</si>
  <si>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</si>
  <si>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</si>
  <si>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</si>
  <si>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</si>
  <si>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</si>
  <si>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</si>
  <si>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</si>
  <si>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</si>
  <si>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</si>
  <si>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</si>
  <si>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</si>
  <si>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</si>
  <si>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</si>
  <si>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</si>
  <si>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</si>
  <si>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</si>
  <si>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</si>
  <si>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</si>
  <si>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</si>
  <si>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</si>
  <si>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</si>
  <si>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</si>
  <si>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</si>
  <si>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</si>
  <si>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</si>
  <si>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</si>
  <si>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</si>
  <si>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</si>
  <si>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</si>
  <si>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</si>
  <si>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</si>
  <si>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</si>
  <si>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</si>
  <si>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</si>
  <si>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</si>
  <si>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</si>
  <si>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</si>
  <si>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</si>
  <si>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</si>
  <si>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</si>
  <si>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</si>
  <si>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</si>
  <si>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</si>
  <si>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</si>
  <si>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</si>
  <si>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</si>
  <si>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</si>
  <si>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</si>
  <si>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</si>
  <si>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</si>
  <si>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</si>
  <si>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</si>
  <si>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</si>
  <si>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</si>
  <si>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</si>
  <si>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</si>
  <si>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</si>
  <si>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</si>
  <si>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</si>
  <si>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</si>
  <si>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</si>
  <si>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</si>
  <si>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</si>
  <si>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</si>
  <si>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</si>
  <si>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</si>
  <si>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</si>
  <si>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</si>
  <si>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</si>
  <si>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</si>
  <si>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</si>
  <si>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</si>
  <si>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</si>
  <si>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</si>
  <si>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</si>
  <si>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</si>
  <si>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</si>
  <si>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</si>
  <si>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</si>
  <si>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</si>
  <si>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</si>
  <si>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</si>
  <si>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</si>
  <si>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</si>
  <si>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</si>
  <si>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</si>
  <si>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</si>
  <si>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</si>
  <si>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</si>
  <si>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</si>
  <si>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</si>
  <si>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</si>
  <si>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</si>
  <si>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</si>
  <si>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</si>
  <si>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</si>
  <si>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</si>
  <si>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</si>
  <si>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</si>
  <si>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</si>
  <si>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</si>
  <si>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</si>
  <si>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</si>
  <si>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</si>
  <si>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</si>
  <si>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</si>
  <si>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</si>
  <si>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</si>
  <si>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</si>
  <si>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</si>
  <si>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</si>
  <si>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</si>
  <si>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</si>
  <si>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</si>
  <si>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</si>
  <si>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</si>
  <si>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</si>
  <si>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</si>
  <si>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</si>
  <si>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</si>
  <si>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</si>
  <si>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</si>
  <si>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</si>
  <si>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</si>
  <si>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</si>
  <si>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</si>
  <si>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</si>
  <si>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</si>
  <si>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</si>
  <si>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</si>
  <si>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</si>
  <si>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</si>
  <si>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</si>
  <si>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</si>
  <si>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</si>
  <si>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</si>
  <si>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</si>
  <si>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</si>
  <si>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</si>
  <si>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</si>
  <si>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</si>
  <si>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</si>
  <si>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</si>
  <si>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</si>
  <si>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</si>
  <si>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</si>
  <si>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</si>
  <si>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</si>
  <si>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</si>
  <si>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</si>
  <si>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</si>
  <si>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</si>
  <si>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</si>
  <si>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</si>
  <si>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</si>
  <si>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</si>
  <si>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</si>
  <si>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</si>
  <si>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</si>
  <si>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</si>
  <si>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</si>
  <si>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</si>
  <si>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</si>
  <si>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</si>
  <si>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</si>
  <si>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</si>
  <si>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</si>
  <si>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</si>
  <si>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</si>
  <si>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</si>
  <si>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</si>
  <si>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</si>
  <si>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</si>
  <si>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</si>
  <si>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</si>
  <si>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</si>
  <si>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</si>
  <si>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</si>
  <si>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</si>
  <si>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</si>
  <si>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</si>
  <si>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</si>
  <si>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</si>
  <si>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</si>
  <si>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</si>
  <si>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</si>
  <si>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</si>
  <si>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</si>
  <si>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</si>
  <si>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</si>
  <si>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</si>
  <si>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</si>
  <si>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</si>
  <si>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</si>
  <si>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</si>
  <si>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</si>
  <si>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</si>
  <si>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</si>
  <si>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</si>
  <si>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</si>
  <si>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</si>
  <si>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</si>
  <si>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</si>
  <si>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</si>
  <si>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</si>
  <si>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</si>
  <si>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</si>
  <si>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</si>
  <si>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</si>
  <si>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</si>
  <si>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</si>
  <si>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</si>
  <si>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</si>
  <si>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</si>
  <si>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</si>
  <si>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</si>
  <si>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</si>
  <si>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</si>
  <si>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</si>
  <si>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</si>
  <si>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</si>
  <si>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</si>
  <si>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</si>
  <si>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</si>
  <si>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</si>
  <si>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</si>
  <si>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</si>
  <si>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</si>
  <si>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</si>
  <si>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</si>
  <si>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</si>
  <si>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</si>
  <si>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</si>
  <si>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</si>
  <si>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</si>
  <si>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</si>
  <si>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</si>
  <si>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</si>
  <si>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</si>
  <si>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</si>
  <si>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</si>
  <si>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</si>
  <si>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</si>
  <si>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</si>
  <si>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</si>
  <si>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</si>
  <si>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</si>
  <si>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</si>
  <si>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</si>
  <si>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</si>
  <si>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</si>
  <si>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</si>
  <si>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</si>
  <si>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</si>
  <si>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</si>
  <si>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</si>
  <si>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</si>
  <si>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</si>
  <si>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</si>
  <si>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</si>
  <si>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</si>
  <si>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</si>
  <si>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</si>
  <si>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</si>
  <si>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</si>
  <si>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</si>
  <si>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</si>
  <si>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</si>
  <si>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</si>
  <si>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</si>
  <si>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</si>
  <si>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</si>
  <si>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</si>
  <si>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</si>
  <si>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</si>
  <si>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</si>
  <si>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</si>
  <si>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</si>
  <si>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</si>
  <si>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</si>
  <si>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</si>
  <si>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</si>
  <si>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</si>
  <si>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</si>
  <si>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</si>
  <si>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</si>
  <si>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</si>
  <si>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</si>
  <si>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</si>
  <si>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</si>
  <si>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</si>
  <si>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</si>
  <si>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</si>
  <si>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</si>
  <si>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</si>
  <si>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</si>
  <si>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</si>
  <si>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</si>
  <si>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</si>
  <si>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</si>
  <si>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</si>
  <si>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</si>
  <si>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</si>
  <si>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</si>
  <si>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</si>
  <si>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</si>
  <si>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</si>
  <si>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</si>
  <si>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</si>
  <si>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</si>
  <si>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</si>
  <si>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</si>
  <si>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</si>
  <si>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</si>
  <si>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</si>
  <si>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</si>
  <si>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</si>
  <si>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</si>
  <si>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</si>
  <si>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</si>
  <si>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</si>
  <si>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</si>
  <si>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</si>
  <si>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</si>
  <si>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</si>
  <si>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</si>
  <si>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</si>
  <si>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</si>
  <si>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</si>
  <si>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</si>
  <si>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</si>
  <si>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</si>
  <si>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</si>
  <si>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</si>
  <si>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</si>
  <si>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</si>
  <si>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</si>
  <si>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</si>
  <si>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</si>
  <si>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</si>
  <si>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</si>
  <si>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</si>
  <si>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</si>
  <si>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</si>
  <si>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</si>
  <si>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</si>
  <si>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</si>
  <si>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</si>
  <si>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</si>
  <si>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</si>
  <si>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</si>
  <si>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</si>
  <si>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</si>
  <si>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</si>
  <si>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</si>
  <si>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</si>
  <si>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</si>
  <si>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</si>
  <si>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</si>
  <si>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</si>
  <si>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</si>
  <si>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</si>
  <si>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</si>
  <si>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</si>
  <si>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</si>
  <si>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</si>
  <si>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</si>
  <si>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</si>
  <si>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</si>
  <si>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</si>
  <si>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</si>
  <si>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</si>
  <si>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</si>
  <si>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</si>
  <si>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</si>
  <si>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</si>
  <si>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</si>
  <si>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</si>
  <si>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</si>
  <si>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</si>
  <si>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</si>
  <si>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</si>
  <si>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</si>
  <si>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</si>
  <si>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</si>
  <si>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</si>
  <si>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</si>
  <si>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</si>
  <si>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</si>
  <si>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</si>
  <si>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</si>
  <si>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</si>
  <si>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</si>
  <si>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</si>
  <si>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</si>
  <si>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</si>
  <si>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</si>
  <si>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</si>
  <si>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</si>
  <si>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</si>
  <si>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</si>
  <si>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</si>
  <si>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</si>
  <si>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</si>
  <si>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</si>
  <si>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</si>
  <si>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</si>
  <si>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</si>
  <si>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</si>
  <si>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</si>
  <si>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</si>
  <si>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</si>
  <si>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</si>
  <si>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</si>
  <si>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</si>
  <si>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</si>
  <si>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</si>
  <si>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</si>
  <si>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</si>
  <si>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</si>
  <si>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</si>
  <si>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</si>
  <si>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</si>
  <si>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</si>
  <si>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</si>
  <si>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</si>
  <si>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</si>
  <si>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</si>
  <si>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</si>
  <si>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</si>
  <si>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</si>
  <si>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</si>
  <si>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</si>
  <si>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</si>
  <si>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</si>
  <si>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</si>
  <si>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</si>
  <si>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</si>
  <si>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</si>
  <si>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</si>
  <si>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</si>
  <si>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</si>
  <si>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</si>
  <si>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</si>
  <si>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</si>
  <si>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</si>
  <si>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</si>
  <si>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</si>
  <si>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</si>
  <si>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</si>
  <si>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</si>
  <si>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</si>
  <si>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</si>
  <si>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</si>
  <si>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</si>
  <si>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</si>
  <si>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</si>
  <si>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</si>
  <si>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</si>
  <si>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</si>
  <si>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</si>
  <si>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</si>
  <si>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</si>
  <si>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</si>
  <si>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</si>
  <si>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</si>
  <si>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</si>
  <si>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</si>
  <si>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</si>
  <si>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</si>
  <si>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</si>
  <si>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</si>
  <si>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</si>
  <si>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</si>
  <si>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</si>
  <si>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</si>
  <si>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</si>
  <si>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</si>
  <si>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</si>
  <si>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</si>
  <si>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</si>
  <si>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</si>
  <si>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</si>
  <si>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</si>
  <si>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</si>
  <si>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</si>
  <si>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</si>
  <si>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</si>
  <si>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</si>
  <si>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</si>
  <si>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</si>
  <si>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</si>
  <si>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</si>
  <si>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</si>
  <si>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</si>
  <si>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</si>
  <si>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</si>
  <si>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</si>
  <si>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</si>
  <si>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</si>
  <si>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</si>
  <si>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</si>
  <si>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</si>
  <si>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</si>
  <si>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</si>
  <si>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</si>
  <si>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</si>
  <si>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</si>
  <si>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</si>
  <si>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</si>
  <si>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</si>
  <si>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</si>
  <si>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</si>
  <si>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</si>
  <si>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</si>
  <si>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</si>
  <si>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</si>
  <si>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</si>
  <si>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</si>
  <si>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</si>
  <si>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</si>
  <si>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</si>
  <si>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</si>
  <si>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</si>
  <si>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</si>
  <si>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</si>
  <si>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</si>
  <si>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</si>
  <si>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</si>
  <si>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</si>
  <si>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</si>
  <si>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</si>
  <si>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</si>
  <si>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</si>
  <si>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</si>
  <si>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</si>
  <si>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</si>
  <si>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</si>
  <si>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</si>
  <si>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</si>
  <si>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</si>
  <si>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</si>
  <si>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</si>
  <si>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</si>
  <si>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</si>
  <si>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</si>
  <si>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</si>
  <si>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</si>
  <si>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</si>
  <si>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</si>
  <si>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</si>
  <si>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</si>
  <si>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</si>
  <si>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</si>
  <si>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</si>
  <si>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</si>
  <si>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</si>
  <si>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</si>
  <si>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</si>
  <si>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</si>
  <si>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</si>
  <si>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</si>
  <si>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</si>
  <si>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</si>
  <si>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</si>
  <si>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</si>
  <si>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</si>
  <si>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</si>
  <si>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</si>
  <si>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</si>
  <si>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</si>
  <si>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</si>
  <si>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</si>
  <si>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</si>
  <si>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</si>
  <si>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</si>
  <si>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</si>
  <si>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</si>
  <si>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</si>
  <si>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</si>
  <si>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</si>
  <si>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</si>
  <si>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</si>
  <si>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</si>
  <si>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</si>
  <si>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</si>
  <si>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</si>
  <si>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</si>
  <si>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</si>
  <si>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</si>
  <si>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</si>
  <si>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</si>
  <si>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</si>
  <si>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</si>
  <si>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</si>
  <si>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</si>
  <si>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</si>
  <si>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</si>
  <si>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</si>
  <si>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</si>
  <si>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</si>
  <si>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</si>
  <si>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</si>
  <si>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</si>
  <si>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</si>
  <si>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</si>
  <si>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</si>
  <si>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</si>
  <si>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</si>
  <si>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</si>
  <si>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</si>
  <si>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</si>
  <si>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</si>
  <si>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</si>
  <si>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</si>
  <si>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</si>
  <si>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</si>
  <si>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</si>
  <si>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</si>
  <si>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</si>
  <si>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</si>
  <si>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</si>
  <si>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</si>
  <si>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</si>
  <si>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</si>
  <si>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</si>
  <si>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</si>
  <si>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</si>
  <si>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</si>
  <si>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</si>
  <si>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</si>
  <si>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</si>
  <si>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</si>
  <si>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</si>
  <si>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</si>
  <si>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</si>
  <si>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</si>
  <si>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</si>
  <si>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</si>
  <si>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</si>
  <si>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</si>
  <si>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</si>
  <si>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</si>
  <si>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</si>
  <si>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</si>
  <si>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</si>
  <si>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</si>
  <si>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</si>
  <si>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</si>
  <si>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</si>
  <si>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</si>
  <si>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</si>
  <si>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</si>
  <si>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</si>
  <si>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</si>
  <si>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</si>
  <si>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</si>
  <si>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</si>
  <si>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</si>
  <si>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</si>
  <si>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</si>
  <si>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</si>
  <si>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</si>
  <si>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</si>
  <si>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</si>
  <si>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</si>
  <si>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</si>
  <si>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</si>
  <si>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</si>
  <si>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</si>
  <si>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</si>
  <si>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</si>
  <si>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</si>
  <si>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</si>
  <si>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</si>
  <si>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</si>
  <si>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</si>
  <si>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</si>
  <si>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</si>
  <si>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</si>
  <si>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</si>
  <si>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</si>
  <si>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</si>
  <si>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</si>
  <si>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</si>
  <si>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</si>
  <si>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</si>
  <si>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</si>
  <si>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</si>
  <si>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</si>
  <si>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</si>
  <si>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</si>
  <si>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</si>
  <si>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</si>
  <si>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</si>
  <si>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</si>
  <si>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</si>
  <si>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</si>
  <si>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</si>
  <si>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</si>
  <si>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</si>
  <si>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</si>
  <si>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</si>
  <si>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</si>
  <si>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</si>
  <si>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</si>
  <si>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</si>
  <si>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</si>
  <si>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</si>
  <si>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</si>
  <si>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</si>
  <si>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</si>
  <si>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</si>
  <si>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</si>
  <si>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</si>
  <si>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</si>
  <si>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</si>
  <si>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</si>
  <si>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</si>
  <si>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</si>
  <si>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</si>
  <si>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</si>
  <si>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</si>
  <si>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</si>
  <si>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</si>
  <si>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</si>
  <si>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</si>
  <si>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</si>
  <si>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</si>
  <si>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</si>
  <si>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</si>
  <si>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</si>
  <si>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</si>
  <si>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</si>
  <si>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</si>
  <si>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</si>
  <si>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</si>
  <si>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</si>
  <si>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</si>
  <si>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</si>
  <si>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</si>
  <si>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</si>
  <si>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</si>
  <si>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</si>
  <si>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</si>
  <si>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</si>
  <si>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</si>
  <si>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</si>
  <si>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</si>
  <si>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</si>
  <si>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</si>
  <si>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</si>
  <si>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</si>
  <si>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</si>
  <si>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</si>
  <si>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</si>
  <si>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</si>
  <si>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</si>
  <si>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</si>
  <si>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</si>
  <si>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</si>
  <si>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</si>
  <si>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</si>
  <si>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</si>
  <si>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</si>
  <si>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</si>
  <si>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</si>
  <si>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</si>
  <si>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</si>
  <si>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</si>
  <si>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</si>
  <si>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</si>
  <si>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</si>
  <si>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</si>
  <si>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</si>
  <si>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</si>
  <si>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</si>
  <si>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</si>
  <si>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</si>
  <si>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</si>
  <si>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</si>
  <si>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</si>
  <si>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</si>
  <si>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</si>
  <si>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</si>
  <si>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</si>
  <si>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</si>
  <si>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</si>
  <si>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</si>
  <si>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</si>
  <si>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</si>
  <si>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</si>
  <si>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</si>
  <si>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</si>
  <si>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</si>
  <si>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</si>
  <si>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</si>
  <si>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</si>
  <si>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</si>
  <si>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</si>
  <si>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</si>
  <si>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</si>
  <si>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</si>
  <si>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</si>
  <si>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</si>
  <si>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</si>
  <si>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</si>
  <si>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</si>
  <si>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</si>
  <si>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</si>
  <si>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</si>
  <si>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</si>
  <si>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</si>
  <si>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</si>
  <si>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</si>
  <si>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</si>
  <si>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</si>
  <si>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</si>
  <si>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</si>
  <si>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</si>
  <si>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</si>
  <si>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</si>
  <si>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</si>
  <si>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</si>
  <si>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</si>
  <si>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</si>
  <si>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</si>
  <si>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</si>
  <si>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</si>
  <si>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</si>
  <si>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</si>
  <si>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</si>
  <si>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</si>
  <si>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</si>
  <si>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</si>
  <si>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</si>
  <si>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</si>
  <si>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</si>
  <si>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</si>
  <si>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</si>
  <si>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</si>
  <si>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</si>
  <si>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</si>
  <si>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</si>
  <si>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</si>
  <si>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</si>
  <si>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</si>
  <si>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</si>
  <si>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</si>
  <si>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</si>
  <si>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</si>
  <si>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</si>
  <si>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</si>
  <si>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</si>
  <si>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</si>
  <si>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</si>
  <si>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</si>
  <si>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</si>
  <si>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</si>
  <si>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</si>
  <si>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</si>
  <si>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</si>
  <si>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</si>
  <si>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</si>
  <si>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</si>
  <si>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</si>
  <si>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</si>
  <si>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</si>
  <si>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</si>
  <si>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</si>
  <si>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</si>
  <si>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</si>
  <si>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</si>
  <si>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</si>
  <si>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</si>
  <si>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</si>
  <si>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</si>
  <si>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</si>
  <si>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</si>
  <si>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</si>
  <si>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</si>
  <si>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</si>
  <si>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</si>
  <si>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</si>
  <si>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</si>
  <si>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</si>
  <si>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</si>
  <si>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</si>
  <si>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</si>
  <si>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</si>
  <si>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</si>
  <si>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</si>
  <si>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</si>
  <si>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</si>
  <si>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</si>
  <si>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</si>
  <si>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</si>
  <si>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</si>
  <si>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</si>
  <si>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</si>
  <si>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</si>
  <si>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</si>
  <si>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</si>
  <si>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</si>
  <si>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</si>
  <si>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</si>
  <si>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</si>
  <si>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</si>
  <si>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</si>
  <si>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</si>
  <si>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</si>
  <si>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</si>
  <si>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</si>
  <si>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</si>
  <si>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</si>
  <si>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</si>
  <si>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</si>
  <si>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</si>
  <si>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</si>
  <si>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</si>
  <si>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</si>
  <si>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</si>
  <si>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</si>
  <si>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</si>
  <si>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</si>
  <si>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</si>
  <si>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</si>
  <si>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</si>
  <si>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</si>
  <si>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</si>
  <si>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</si>
  <si>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</si>
  <si>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</si>
  <si>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</si>
  <si>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</si>
  <si>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</si>
  <si>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</si>
  <si>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</si>
  <si>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</si>
  <si>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</si>
  <si>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</si>
  <si>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</si>
  <si>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</si>
  <si>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</si>
  <si>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</si>
  <si>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</si>
  <si>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</si>
  <si>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</si>
  <si>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</si>
  <si>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</si>
  <si>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</si>
  <si>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</si>
  <si>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</si>
  <si>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</si>
  <si>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</si>
  <si>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</si>
  <si>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</si>
  <si>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</si>
  <si>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</si>
  <si>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</si>
  <si>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</si>
  <si>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</si>
  <si>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</si>
  <si>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</si>
  <si>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</si>
  <si>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</si>
  <si>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</si>
  <si>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</si>
  <si>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</si>
  <si>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</si>
  <si>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</si>
  <si>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</si>
  <si>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</si>
  <si>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</si>
  <si>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</si>
  <si>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</si>
  <si>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</si>
  <si>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</si>
  <si>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</si>
  <si>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</si>
  <si>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</si>
  <si>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</si>
  <si>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</si>
  <si>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</si>
  <si>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</si>
  <si>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</si>
  <si>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</si>
  <si>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</si>
  <si>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</si>
  <si>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</si>
  <si>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</si>
  <si>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</si>
  <si>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</si>
  <si>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</si>
  <si>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</si>
  <si>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</si>
  <si>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</si>
  <si>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</si>
  <si>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</si>
  <si>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</si>
  <si>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</si>
  <si>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</si>
  <si>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</si>
  <si>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</si>
  <si>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</si>
  <si>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</si>
  <si>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</si>
  <si>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</si>
  <si>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</si>
  <si>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</si>
  <si>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</si>
  <si>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</si>
  <si>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</si>
  <si>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</si>
  <si>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</si>
  <si>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</si>
  <si>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</si>
  <si>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</si>
  <si>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</si>
  <si>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</si>
  <si>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</si>
  <si>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</si>
  <si>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</si>
  <si>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</si>
  <si>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</si>
  <si>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</si>
  <si>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</si>
  <si>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</si>
  <si>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</si>
  <si>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</si>
  <si>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</si>
  <si>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</si>
  <si>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</si>
  <si>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</si>
  <si>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</si>
  <si>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</si>
  <si>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</si>
  <si>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</si>
  <si>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</si>
  <si>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</si>
  <si>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</si>
  <si>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</si>
  <si>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</si>
  <si>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</si>
  <si>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</si>
  <si>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</si>
  <si>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</si>
  <si>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</si>
  <si>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</si>
  <si>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</si>
  <si>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</si>
  <si>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</si>
  <si>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</si>
  <si>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</si>
  <si>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</si>
  <si>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</si>
  <si>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</si>
  <si>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</si>
  <si>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</si>
  <si>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</si>
  <si>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</si>
  <si>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</si>
  <si>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</si>
  <si>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</si>
  <si>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</si>
  <si>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</si>
  <si>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</si>
  <si>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</si>
  <si>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</si>
  <si>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</si>
  <si>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</si>
  <si>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</si>
  <si>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</si>
  <si>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</si>
  <si>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</si>
  <si>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</si>
  <si>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</si>
  <si>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</si>
  <si>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</si>
  <si>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</si>
  <si>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</si>
  <si>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</si>
  <si>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</si>
  <si>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</si>
  <si>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</si>
  <si>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</si>
  <si>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</si>
  <si>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</si>
  <si>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</si>
  <si>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</si>
  <si>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</si>
  <si>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</si>
  <si>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</si>
  <si>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</si>
  <si>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</si>
  <si>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</si>
  <si>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</si>
  <si>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</si>
  <si>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</si>
  <si>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</si>
  <si>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</si>
  <si>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</si>
  <si>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</si>
  <si>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</si>
  <si>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</si>
  <si>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</si>
  <si>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</si>
  <si>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</si>
  <si>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</si>
  <si>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</si>
  <si>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</si>
  <si>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</si>
  <si>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</si>
  <si>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</si>
  <si>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</si>
  <si>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</si>
  <si>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</si>
  <si>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</si>
  <si>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</si>
  <si>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</si>
  <si>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</si>
  <si>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</si>
  <si>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</si>
  <si>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</si>
  <si>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</si>
  <si>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</si>
  <si>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</si>
  <si>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</si>
  <si>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</si>
  <si>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</si>
  <si>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</si>
  <si>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</si>
  <si>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</si>
  <si>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</si>
  <si>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</si>
  <si>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</si>
  <si>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</si>
  <si>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</si>
  <si>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</si>
  <si>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</si>
  <si>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</si>
  <si>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</si>
  <si>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</si>
  <si>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</si>
  <si>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</si>
  <si>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</si>
  <si>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</si>
  <si>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</si>
  <si>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</si>
  <si>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</si>
  <si>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</si>
  <si>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</si>
  <si>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</si>
  <si>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</si>
  <si>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</si>
  <si>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</si>
  <si>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</si>
  <si>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</si>
  <si>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</si>
  <si>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</si>
  <si>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</si>
  <si>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</si>
  <si>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</si>
  <si>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</si>
  <si>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</si>
  <si>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</si>
  <si>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</si>
  <si>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</si>
  <si>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</si>
  <si>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</si>
  <si>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</si>
  <si>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</si>
  <si>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</si>
  <si>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</si>
  <si>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</si>
  <si>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</si>
  <si>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</si>
  <si>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</si>
  <si>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</si>
  <si>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</si>
  <si>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</si>
  <si>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</si>
  <si>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</si>
  <si>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</si>
  <si>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</si>
  <si>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</si>
  <si>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</si>
  <si>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</si>
  <si>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</si>
  <si>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</si>
  <si>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</si>
  <si>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</si>
  <si>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</si>
  <si>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</si>
  <si>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</si>
  <si>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</si>
  <si>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</si>
  <si>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</si>
  <si>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</si>
  <si>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</si>
  <si>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</si>
  <si>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</si>
  <si>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</si>
  <si>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</si>
  <si>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</si>
  <si>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</si>
  <si>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</si>
  <si>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</si>
  <si>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</si>
  <si>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</si>
  <si>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</si>
  <si>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</si>
  <si>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</si>
  <si>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</si>
  <si>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</si>
  <si>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</si>
  <si>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</si>
  <si>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</si>
  <si>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</si>
  <si>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</si>
  <si>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</si>
  <si>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</si>
  <si>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</si>
  <si>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</si>
  <si>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</si>
  <si>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</si>
  <si>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</si>
  <si>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</si>
  <si>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</si>
  <si>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</si>
  <si>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</si>
  <si>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</si>
  <si>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</si>
  <si>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</si>
  <si>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</si>
  <si>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</si>
  <si>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</si>
  <si>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</si>
  <si>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</si>
  <si>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</si>
  <si>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</si>
  <si>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</si>
  <si>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</si>
  <si>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</si>
  <si>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</si>
  <si>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</si>
  <si>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</si>
  <si>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</si>
  <si>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</si>
  <si>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</si>
  <si>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</si>
  <si>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</si>
  <si>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</si>
  <si>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</si>
  <si>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</si>
  <si>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</si>
  <si>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</si>
  <si>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</si>
  <si>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</si>
  <si>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</si>
  <si>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</si>
  <si>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</si>
  <si>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</si>
  <si>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</si>
  <si>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</si>
  <si>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</si>
  <si>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</si>
  <si>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</si>
  <si>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</si>
  <si>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</si>
  <si>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</si>
  <si>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</si>
  <si>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</si>
  <si>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</si>
  <si>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</si>
  <si>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</si>
  <si>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</si>
  <si>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</si>
  <si>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</si>
  <si>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</si>
  <si>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</si>
  <si>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</si>
  <si>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</si>
  <si>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</si>
  <si>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</si>
  <si>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</si>
  <si>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</si>
  <si>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</si>
  <si>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</si>
  <si>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</si>
  <si>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</si>
  <si>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</si>
  <si>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</si>
  <si>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</si>
  <si>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</si>
  <si>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</si>
  <si>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</si>
  <si>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</si>
  <si>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</si>
  <si>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</si>
  <si>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</si>
  <si>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</si>
  <si>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</si>
  <si>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</si>
  <si>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</si>
  <si>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</si>
  <si>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</si>
  <si>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</si>
  <si>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</si>
  <si>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</si>
  <si>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</si>
  <si>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</si>
  <si>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</si>
  <si>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</si>
  <si>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</si>
  <si>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</si>
  <si>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</si>
  <si>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</si>
  <si>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</si>
  <si>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</si>
  <si>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</si>
  <si>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</si>
  <si>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</si>
  <si>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</si>
  <si>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</si>
  <si>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</si>
  <si>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</si>
  <si>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</si>
  <si>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</si>
  <si>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</si>
  <si>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</si>
  <si>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</si>
  <si>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</si>
  <si>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</si>
  <si>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</si>
  <si>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</si>
  <si>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</si>
  <si>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</si>
  <si>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</si>
  <si>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</si>
  <si>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</si>
  <si>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</si>
  <si>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</si>
  <si>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</si>
  <si>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</si>
  <si>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</si>
  <si>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</si>
  <si>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</si>
  <si>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</si>
  <si>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</si>
  <si>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</si>
  <si>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</si>
  <si>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</si>
  <si>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</si>
  <si>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</si>
  <si>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</si>
  <si>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</si>
  <si>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</si>
  <si>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</si>
  <si>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</si>
  <si>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</si>
  <si>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</si>
  <si>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</si>
  <si>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</si>
  <si>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</si>
  <si>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</si>
  <si>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</si>
  <si>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</si>
  <si>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</si>
  <si>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</si>
  <si>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</si>
  <si>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</si>
  <si>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</si>
  <si>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</si>
  <si>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</si>
  <si>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</si>
  <si>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</si>
  <si>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</si>
  <si>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</si>
  <si>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</si>
  <si>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</si>
  <si>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</si>
  <si>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</si>
  <si>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</si>
  <si>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</si>
  <si>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</si>
  <si>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</si>
  <si>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</si>
  <si>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</si>
  <si>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</si>
  <si>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</si>
  <si>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</si>
  <si>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</si>
  <si>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</si>
  <si>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</si>
  <si>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</si>
  <si>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</si>
  <si>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</si>
  <si>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</si>
  <si>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</si>
  <si>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</si>
  <si>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</si>
  <si>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</si>
  <si>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</si>
  <si>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</si>
  <si>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</si>
  <si>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</si>
  <si>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</si>
  <si>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</si>
  <si>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</si>
  <si>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</si>
  <si>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</si>
  <si>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</si>
  <si>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</si>
  <si>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</si>
  <si>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</si>
  <si>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</si>
  <si>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</si>
  <si>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</si>
  <si>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</si>
  <si>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</si>
  <si>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</si>
  <si>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</si>
  <si>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</si>
  <si>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</si>
  <si>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</si>
  <si>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</si>
  <si>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</si>
  <si>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</si>
  <si>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</si>
  <si>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</si>
  <si>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</si>
  <si>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</si>
  <si>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</si>
  <si>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</si>
  <si>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</si>
  <si>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</si>
  <si>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</si>
  <si>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</si>
  <si>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</si>
  <si>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</si>
  <si>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</si>
  <si>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</si>
  <si>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</si>
  <si>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</si>
  <si>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</si>
  <si>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</si>
  <si>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</si>
  <si>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</si>
  <si>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</si>
  <si>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</si>
  <si>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</si>
  <si>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</si>
  <si>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</si>
  <si>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</si>
  <si>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</si>
  <si>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</si>
  <si>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</si>
  <si>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</si>
  <si>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</si>
  <si>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</si>
  <si>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</si>
  <si>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</si>
  <si>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</si>
  <si>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</si>
  <si>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</si>
  <si>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</si>
  <si>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</si>
  <si>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</si>
  <si>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</si>
  <si>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</si>
  <si>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</si>
  <si>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</si>
  <si>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</si>
  <si>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</si>
  <si>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</si>
  <si>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</si>
  <si>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</si>
  <si>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</si>
  <si>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</si>
  <si>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</si>
  <si>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</si>
  <si>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</si>
  <si>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</si>
  <si>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</si>
  <si>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</si>
  <si>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</si>
  <si>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</si>
  <si>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</si>
  <si>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</si>
  <si>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</si>
  <si>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</si>
  <si>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</si>
  <si>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</si>
  <si>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</si>
  <si>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</si>
  <si>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</si>
  <si>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</si>
  <si>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</si>
  <si>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</si>
  <si>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</si>
  <si>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</si>
  <si>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</si>
  <si>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</si>
  <si>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</si>
  <si>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</si>
  <si>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</si>
  <si>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</si>
  <si>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</si>
  <si>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</si>
  <si>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</si>
  <si>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</si>
  <si>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</si>
  <si>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</si>
  <si>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</si>
  <si>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</si>
  <si>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</si>
  <si>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</si>
  <si>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</si>
  <si>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</si>
  <si>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</si>
  <si>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</si>
  <si>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</si>
  <si>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</si>
  <si>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</si>
  <si>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</si>
  <si>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</si>
  <si>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</si>
  <si>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</si>
  <si>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</si>
  <si>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</si>
  <si>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</si>
  <si>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</si>
  <si>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</si>
  <si>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</si>
  <si>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</si>
  <si>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</si>
  <si>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</si>
  <si>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</si>
  <si>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</si>
  <si>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</si>
  <si>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</si>
  <si>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</si>
  <si>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</si>
  <si>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</si>
  <si>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</si>
  <si>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</si>
  <si>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</si>
  <si>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</si>
  <si>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</si>
  <si>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</si>
  <si>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</si>
  <si>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</si>
  <si>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</si>
  <si>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</si>
  <si>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</si>
  <si>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</si>
  <si>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</si>
  <si>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</si>
  <si>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</si>
  <si>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</si>
  <si>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</si>
  <si>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</si>
  <si>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</si>
  <si>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</si>
  <si>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</si>
  <si>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</si>
  <si>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</si>
  <si>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</si>
  <si>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</si>
  <si>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</si>
  <si>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</si>
  <si>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</si>
  <si>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</si>
  <si>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</si>
  <si>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</si>
  <si>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</si>
  <si>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</si>
  <si>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</si>
  <si>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</si>
  <si>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</si>
  <si>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</si>
  <si>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</si>
  <si>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</si>
  <si>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</si>
  <si>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</si>
  <si>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</si>
  <si>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</si>
  <si>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</si>
  <si>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</si>
  <si>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</si>
  <si>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</si>
  <si>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</si>
  <si>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</si>
  <si>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</si>
  <si>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</si>
  <si>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</si>
  <si>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</si>
  <si>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</si>
  <si>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</si>
  <si>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</si>
  <si>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</si>
  <si>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</si>
  <si>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</si>
  <si>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</si>
  <si>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</si>
  <si>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</si>
  <si>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</si>
  <si>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</si>
  <si>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</si>
  <si>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</si>
  <si>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</si>
  <si>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</si>
  <si>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</si>
  <si>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</si>
  <si>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</si>
  <si>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</si>
  <si>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</si>
  <si>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</si>
  <si>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</si>
  <si>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</si>
  <si>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</si>
  <si>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</si>
  <si>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</si>
  <si>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</si>
  <si>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</si>
  <si>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</si>
  <si>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</si>
  <si>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</si>
  <si>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</si>
  <si>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</si>
  <si>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</si>
  <si>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</si>
  <si>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</si>
  <si>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</si>
  <si>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</si>
  <si>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</si>
  <si>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</si>
  <si>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</si>
  <si>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</si>
  <si>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</si>
  <si>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</si>
  <si>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</si>
  <si>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</si>
  <si>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</si>
  <si>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</si>
  <si>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</si>
  <si>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</si>
  <si>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</si>
  <si>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</si>
  <si>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</si>
  <si>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</si>
  <si>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</si>
  <si>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</si>
  <si>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</si>
  <si>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</si>
  <si>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</si>
  <si>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</si>
  <si>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</si>
  <si>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</si>
  <si>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</si>
  <si>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</si>
  <si>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</si>
  <si>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</si>
  <si>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</si>
  <si>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</si>
  <si>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</si>
  <si>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</si>
  <si>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</si>
  <si>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</si>
  <si>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</si>
  <si>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</si>
  <si>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</si>
  <si>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</si>
  <si>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</si>
  <si>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</si>
  <si>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</si>
  <si>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</si>
  <si>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</si>
  <si>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</si>
  <si>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</si>
  <si>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</si>
  <si>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</si>
  <si>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</si>
  <si>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</si>
  <si>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</si>
  <si>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</si>
  <si>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</si>
  <si>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</si>
  <si>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</si>
  <si>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</si>
  <si>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</si>
  <si>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</si>
  <si>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</si>
  <si>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</si>
  <si>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</si>
  <si>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</si>
  <si>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</si>
  <si>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</si>
  <si>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</si>
  <si>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</si>
  <si>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</si>
  <si>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</si>
  <si>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</si>
  <si>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</si>
  <si>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</si>
  <si>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</si>
  <si>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</si>
  <si>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</si>
  <si>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</si>
  <si>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</si>
  <si>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</si>
  <si>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</si>
  <si>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</si>
  <si>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</si>
  <si>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</si>
  <si>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</si>
  <si>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</si>
  <si>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</si>
  <si>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</si>
  <si>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</si>
  <si>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</si>
  <si>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</si>
  <si>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</si>
  <si>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</si>
  <si>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</si>
  <si>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</si>
  <si>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</si>
  <si>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</si>
  <si>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</si>
  <si>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</si>
  <si>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</si>
  <si>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</si>
  <si>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</si>
  <si>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</si>
  <si>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</si>
  <si>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</si>
  <si>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</si>
  <si>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</si>
  <si>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</si>
  <si>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</si>
  <si>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</si>
  <si>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</si>
  <si>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</si>
  <si>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</si>
  <si>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</si>
  <si>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</si>
  <si>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</si>
  <si>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</si>
  <si>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</si>
  <si>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</si>
  <si>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</si>
  <si>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</si>
  <si>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</si>
  <si>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</si>
  <si>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</si>
  <si>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</si>
  <si>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</si>
  <si>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</si>
  <si>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</si>
  <si>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</si>
  <si>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</si>
  <si>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</si>
  <si>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</si>
  <si>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</si>
  <si>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</si>
  <si>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</si>
  <si>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</si>
  <si>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</si>
  <si>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</si>
  <si>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</si>
  <si>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</si>
  <si>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</si>
  <si>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</si>
  <si>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</si>
  <si>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</si>
  <si>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</si>
  <si>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</si>
  <si>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</si>
  <si>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</si>
  <si>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</si>
  <si>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</si>
  <si>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</si>
  <si>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</si>
  <si>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</si>
  <si>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</si>
  <si>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</si>
  <si>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</si>
  <si>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</si>
  <si>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</si>
  <si>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</si>
  <si>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</si>
  <si>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</si>
  <si>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</si>
  <si>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</si>
  <si>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</si>
  <si>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</si>
  <si>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</si>
  <si>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</si>
  <si>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</si>
  <si>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</si>
  <si>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</si>
  <si>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</si>
  <si>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</si>
  <si>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</si>
  <si>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</si>
  <si>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</si>
  <si>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</si>
  <si>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</si>
  <si>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</si>
  <si>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</si>
  <si>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</si>
  <si>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</si>
  <si>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</si>
  <si>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</si>
  <si>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</si>
  <si>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</si>
  <si>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</si>
  <si>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</si>
  <si>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</si>
  <si>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</si>
  <si>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</si>
  <si>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</si>
  <si>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</si>
  <si>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</si>
  <si>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</si>
  <si>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</si>
  <si>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</si>
  <si>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</si>
  <si>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</si>
  <si>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</si>
  <si>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</si>
  <si>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</si>
  <si>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</si>
  <si>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</si>
  <si>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</si>
  <si>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</si>
  <si>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</si>
  <si>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</si>
  <si>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</si>
  <si>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</si>
  <si>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</si>
  <si>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</si>
  <si>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</si>
  <si>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</si>
  <si>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</si>
  <si>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</si>
  <si>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</si>
  <si>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</si>
  <si>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</si>
  <si>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</si>
  <si>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</si>
  <si>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</si>
  <si>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</si>
  <si>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</si>
  <si>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</si>
  <si>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</si>
  <si>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</si>
  <si>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</si>
  <si>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</si>
  <si>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</si>
  <si>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</si>
  <si>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</si>
  <si>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</si>
  <si>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</si>
  <si>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</si>
  <si>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</si>
  <si>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</si>
  <si>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</si>
  <si>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</si>
  <si>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</si>
  <si>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</si>
  <si>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</si>
  <si>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</si>
  <si>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</si>
  <si>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</si>
  <si>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</si>
  <si>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</si>
  <si>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</si>
  <si>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</si>
  <si>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</si>
  <si>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</si>
  <si>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</si>
  <si>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</si>
  <si>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</si>
  <si>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</si>
  <si>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</si>
  <si>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</si>
  <si>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</si>
  <si>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</si>
  <si>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</si>
  <si>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</si>
  <si>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</si>
  <si>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</si>
  <si>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</si>
  <si>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</si>
  <si>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</si>
  <si>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</si>
  <si>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</si>
  <si>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</si>
  <si>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</si>
  <si>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</si>
  <si>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</si>
  <si>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</si>
  <si>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</si>
  <si>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</si>
  <si>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</si>
  <si>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</si>
  <si>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</si>
  <si>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</si>
  <si>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</si>
  <si>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</si>
  <si>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</si>
  <si>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</si>
  <si>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</si>
  <si>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</si>
  <si>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</si>
  <si>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</si>
  <si>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</si>
  <si>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</si>
  <si>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</si>
  <si>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</si>
  <si>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</si>
  <si>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</si>
  <si>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</si>
  <si>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</si>
  <si>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</si>
  <si>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</si>
  <si>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</si>
  <si>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</si>
  <si>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</si>
  <si>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</si>
  <si>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</si>
  <si>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</si>
  <si>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</si>
  <si>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</si>
  <si>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</si>
  <si>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</si>
  <si>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</si>
  <si>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</si>
  <si>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</si>
  <si>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</si>
  <si>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</si>
  <si>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</si>
  <si>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</si>
  <si>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</si>
  <si>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</si>
  <si>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</si>
  <si>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</si>
  <si>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</si>
  <si>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</si>
  <si>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</si>
  <si>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</si>
  <si>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</si>
  <si>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</si>
  <si>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</si>
  <si>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</si>
  <si>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</si>
  <si>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</si>
  <si>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</si>
  <si>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</si>
  <si>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</si>
  <si>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</si>
  <si>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</si>
  <si>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</si>
  <si>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</si>
  <si>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</si>
  <si>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</si>
  <si>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</si>
  <si>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</si>
  <si>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</si>
  <si>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</si>
  <si>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</si>
  <si>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</si>
  <si>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</si>
  <si>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</si>
  <si>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</si>
  <si>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</si>
  <si>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</si>
  <si>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</si>
  <si>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</si>
  <si>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</si>
  <si>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</si>
  <si>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</si>
  <si>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</si>
  <si>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</si>
  <si>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</si>
  <si>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</si>
  <si>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</si>
  <si>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</si>
  <si>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</si>
  <si>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</si>
  <si>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</si>
  <si>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</si>
  <si>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</si>
  <si>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</si>
  <si>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</si>
  <si>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</si>
  <si>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</si>
  <si>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</si>
  <si>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</si>
  <si>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</si>
  <si>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</si>
  <si>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</si>
  <si>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</si>
  <si>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</si>
  <si>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</si>
  <si>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</si>
  <si>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</si>
  <si>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</si>
  <si>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</si>
  <si>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</si>
  <si>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</si>
  <si>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</si>
  <si>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</si>
  <si>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</si>
  <si>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</si>
  <si>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</si>
  <si>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</si>
  <si>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</si>
  <si>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</si>
  <si>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</si>
  <si>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</si>
  <si>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</si>
  <si>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</si>
  <si>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</si>
  <si>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</si>
  <si>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</si>
  <si>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</si>
  <si>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</si>
  <si>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</si>
  <si>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</si>
  <si>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</si>
  <si>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</si>
  <si>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</si>
  <si>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</si>
  <si>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</si>
  <si>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</si>
  <si>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</si>
  <si>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</si>
  <si>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</si>
  <si>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</si>
  <si>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</si>
  <si>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</si>
  <si>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</si>
  <si>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</si>
  <si>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</si>
  <si>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</si>
  <si>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</si>
  <si>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</si>
  <si>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</si>
  <si>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</si>
  <si>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</si>
  <si>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</si>
  <si>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</si>
  <si>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</si>
  <si>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</si>
  <si>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</si>
  <si>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</si>
  <si>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</si>
  <si>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</si>
  <si>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</si>
  <si>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</si>
  <si>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</si>
  <si>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</si>
  <si>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</si>
  <si>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</si>
  <si>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</si>
  <si>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</si>
  <si>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</si>
  <si>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</si>
  <si>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</si>
  <si>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</si>
  <si>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</si>
  <si>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</si>
  <si>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</si>
  <si>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</si>
  <si>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</si>
  <si>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</si>
  <si>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</si>
  <si>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</si>
  <si>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</si>
  <si>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</si>
  <si>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</si>
  <si>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</si>
  <si>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</si>
  <si>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</si>
  <si>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</si>
  <si>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</si>
  <si>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</si>
  <si>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</si>
  <si>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</si>
  <si>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</si>
  <si>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</si>
  <si>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</si>
  <si>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</si>
  <si>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</si>
  <si>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</si>
  <si>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</si>
  <si>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</si>
  <si>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</si>
  <si>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</si>
  <si>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</si>
  <si>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</si>
  <si>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</si>
  <si>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</si>
  <si>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</si>
  <si>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</si>
  <si>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</si>
  <si>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</si>
  <si>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</si>
  <si>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</si>
  <si>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</si>
  <si>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</si>
  <si>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</si>
  <si>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</si>
  <si>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</si>
  <si>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</si>
  <si>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</si>
  <si>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</si>
  <si>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</si>
  <si>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</si>
  <si>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</si>
  <si>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</si>
  <si>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</si>
  <si>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</si>
  <si>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</si>
  <si>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</si>
  <si>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</si>
  <si>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</si>
  <si>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</si>
  <si>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</si>
  <si>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</si>
  <si>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</si>
  <si>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</si>
  <si>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</si>
  <si>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</si>
  <si>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</si>
  <si>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</si>
  <si>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</si>
  <si>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</si>
  <si>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</si>
  <si>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</si>
  <si>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</si>
  <si>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</si>
  <si>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</si>
  <si>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</si>
  <si>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</si>
  <si>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</si>
  <si>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</si>
  <si>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</si>
  <si>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</si>
  <si>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</si>
  <si>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</si>
  <si>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</si>
  <si>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</si>
  <si>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</si>
  <si>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</si>
  <si>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</si>
  <si>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</si>
  <si>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</si>
  <si>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</si>
  <si>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</si>
  <si>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</si>
  <si>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</si>
  <si>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</si>
  <si>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</si>
  <si>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</si>
  <si>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</si>
  <si>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</si>
  <si>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</si>
  <si>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</si>
  <si>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</si>
  <si>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</si>
  <si>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</si>
  <si>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</si>
  <si>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</si>
  <si>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</si>
  <si>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</si>
  <si>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</si>
  <si>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</si>
  <si>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</si>
  <si>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</si>
  <si>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</si>
  <si>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</si>
  <si>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</si>
  <si>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</si>
  <si>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</si>
  <si>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</si>
  <si>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</si>
  <si>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</si>
  <si>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</si>
  <si>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</si>
  <si>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</si>
  <si>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</si>
  <si>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</si>
  <si>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</si>
  <si>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</si>
  <si>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</si>
  <si>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</si>
  <si>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</si>
  <si>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</si>
  <si>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</si>
  <si>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</si>
  <si>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</si>
  <si>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</si>
  <si>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</si>
  <si>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</si>
  <si>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</si>
  <si>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</si>
  <si>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</si>
  <si>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</si>
  <si>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</si>
  <si>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</si>
  <si>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</si>
  <si>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</si>
  <si>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</si>
  <si>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</si>
  <si>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</si>
  <si>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</si>
  <si>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</si>
  <si>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</si>
  <si>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</si>
  <si>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</si>
  <si>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</si>
  <si>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</si>
  <si>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</si>
  <si>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</si>
  <si>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</si>
  <si>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</si>
  <si>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</si>
  <si>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</si>
  <si>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</si>
  <si>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</si>
  <si>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</si>
  <si>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</si>
  <si>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</si>
  <si>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</si>
  <si>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</si>
  <si>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</si>
  <si>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</si>
  <si>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</si>
  <si>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</si>
  <si>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</si>
  <si>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</si>
  <si>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</si>
  <si>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</si>
  <si>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</si>
  <si>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</si>
  <si>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</si>
  <si>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</si>
  <si>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</si>
  <si>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</si>
  <si>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</si>
  <si>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</si>
  <si>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</si>
  <si>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</si>
  <si>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</si>
  <si>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</si>
  <si>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</si>
  <si>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</si>
  <si>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</si>
  <si>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</si>
  <si>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</si>
  <si>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</si>
  <si>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</si>
  <si>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</si>
  <si>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</si>
  <si>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</si>
  <si>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</si>
  <si>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</si>
  <si>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</si>
  <si>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</si>
  <si>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</si>
  <si>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</si>
  <si>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</si>
  <si>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</si>
  <si>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</si>
  <si>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</si>
  <si>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</si>
  <si>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</si>
  <si>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</si>
  <si>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</si>
  <si>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</si>
  <si>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</si>
  <si>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</si>
  <si>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</si>
  <si>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</si>
  <si>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</si>
  <si>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</si>
  <si>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</si>
  <si>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</si>
  <si>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</si>
  <si>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</si>
  <si>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</si>
  <si>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</si>
  <si>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</si>
  <si>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</si>
  <si>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</si>
  <si>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</si>
  <si>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</si>
  <si>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</si>
  <si>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</si>
  <si>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</si>
  <si>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</si>
  <si>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</si>
  <si>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</si>
  <si>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</si>
  <si>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</si>
  <si>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</si>
  <si>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</si>
  <si>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</si>
  <si>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</si>
  <si>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</si>
  <si>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</si>
  <si>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</si>
  <si>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</si>
  <si>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</si>
  <si>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</si>
  <si>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</si>
  <si>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</si>
  <si>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</si>
  <si>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</si>
  <si>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</si>
  <si>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</si>
  <si>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</si>
  <si>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</si>
  <si>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</si>
  <si>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</si>
  <si>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</si>
  <si>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</si>
  <si>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</si>
  <si>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</si>
  <si>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</si>
  <si>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</si>
  <si>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</si>
  <si>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</si>
  <si>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</si>
  <si>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</si>
  <si>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</si>
  <si>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</si>
  <si>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</si>
  <si>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</si>
  <si>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</si>
  <si>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</si>
  <si>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</si>
  <si>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</si>
  <si>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</si>
  <si>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</si>
  <si>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</si>
  <si>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</si>
  <si>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</si>
  <si>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</si>
  <si>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</si>
  <si>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</si>
  <si>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</si>
  <si>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</si>
  <si>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</si>
  <si>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</si>
  <si>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</si>
  <si>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</si>
  <si>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</si>
  <si>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</si>
  <si>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</si>
  <si>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</si>
  <si>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</si>
  <si>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</si>
  <si>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</si>
  <si>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</si>
  <si>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</si>
  <si>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</si>
  <si>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</si>
  <si>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</si>
  <si>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</si>
  <si>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</si>
  <si>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</si>
  <si>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</si>
  <si>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</si>
  <si>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</si>
  <si>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</si>
  <si>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</si>
  <si>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</si>
  <si>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</si>
  <si>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</si>
  <si>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</si>
  <si>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</si>
  <si>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</si>
  <si>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</si>
  <si>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</si>
  <si>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</si>
  <si>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</si>
  <si>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</si>
  <si>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</si>
  <si>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</si>
  <si>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</si>
  <si>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</si>
  <si>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</si>
  <si>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</si>
  <si>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</si>
  <si>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</si>
  <si>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</si>
  <si>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</si>
  <si>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</si>
  <si>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</si>
  <si>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</si>
  <si>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</si>
  <si>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</si>
  <si>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</si>
  <si>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</si>
  <si>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</si>
  <si>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</si>
  <si>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</si>
  <si>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</si>
  <si>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</si>
  <si>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</si>
  <si>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</si>
  <si>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</si>
  <si>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</si>
  <si>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</si>
  <si>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</si>
  <si>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</si>
  <si>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</si>
  <si>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</si>
  <si>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</si>
  <si>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</si>
  <si>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</si>
  <si>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</si>
  <si>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</si>
  <si>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</si>
  <si>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</si>
  <si>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</si>
  <si>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</si>
  <si>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</si>
  <si>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</si>
  <si>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</si>
  <si>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</si>
  <si>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</si>
  <si>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</si>
  <si>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</si>
  <si>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</si>
  <si>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</si>
  <si>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</si>
  <si>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</si>
  <si>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</si>
  <si>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</si>
  <si>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</si>
  <si>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</si>
  <si>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</si>
  <si>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</si>
  <si>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</si>
  <si>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</si>
  <si>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</si>
  <si>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</si>
  <si>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</si>
  <si>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</si>
  <si>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</si>
  <si>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</si>
  <si>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</si>
  <si>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</si>
  <si>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</si>
  <si>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</si>
  <si>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</si>
  <si>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</si>
  <si>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</si>
  <si>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</si>
  <si>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</si>
  <si>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</si>
  <si>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</si>
  <si>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</si>
  <si>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</si>
  <si>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</si>
  <si>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</si>
  <si>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</si>
  <si>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</si>
  <si>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</si>
  <si>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</si>
  <si>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</si>
  <si>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</si>
  <si>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</si>
  <si>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</si>
  <si>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</si>
  <si>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</si>
  <si>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</si>
  <si>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</si>
  <si>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</si>
  <si>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</si>
  <si>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</si>
  <si>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</si>
  <si>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</si>
  <si>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</si>
  <si>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</si>
  <si>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</si>
  <si>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</si>
  <si>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</si>
  <si>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</si>
  <si>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</si>
  <si>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</si>
  <si>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</si>
  <si>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</si>
  <si>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</si>
  <si>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</si>
  <si>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</si>
  <si>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</si>
  <si>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</si>
  <si>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</si>
  <si>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</si>
  <si>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</si>
  <si>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</si>
  <si>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</si>
  <si>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</si>
  <si>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</si>
  <si>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</si>
  <si>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</si>
  <si>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</si>
  <si>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</si>
  <si>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</si>
  <si>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</si>
  <si>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</si>
  <si>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</si>
  <si>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</si>
  <si>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</si>
  <si>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</si>
  <si>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</si>
  <si>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</si>
  <si>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</si>
  <si>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</si>
  <si>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</si>
  <si>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</si>
  <si>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</si>
  <si>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</si>
  <si>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</si>
  <si>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</si>
  <si>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</si>
  <si>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</si>
  <si>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</si>
  <si>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</si>
  <si>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</si>
  <si>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</si>
  <si>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</si>
  <si>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</si>
  <si>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</si>
  <si>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</si>
  <si>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</si>
  <si>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</si>
  <si>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</si>
  <si>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</si>
  <si>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</si>
  <si>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</si>
  <si>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</si>
  <si>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</si>
  <si>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</si>
  <si>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</si>
  <si>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</si>
  <si>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</si>
  <si>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</si>
  <si>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</si>
  <si>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</si>
  <si>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</si>
  <si>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</si>
  <si>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</si>
  <si>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</si>
  <si>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</si>
  <si>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</si>
  <si>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</si>
  <si>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</si>
  <si>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</si>
  <si>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</si>
  <si>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</si>
  <si>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</si>
  <si>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</si>
  <si>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</si>
  <si>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</si>
  <si>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</si>
  <si>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</si>
  <si>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</si>
  <si>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</si>
  <si>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</si>
  <si>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</si>
  <si>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</si>
  <si>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</si>
  <si>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</si>
  <si>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</si>
  <si>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</si>
  <si>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</si>
  <si>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</si>
  <si>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</si>
  <si>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</si>
  <si>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</si>
  <si>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</si>
  <si>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</si>
  <si>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</si>
  <si>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</si>
  <si>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</si>
  <si>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</si>
  <si>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</si>
  <si>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</si>
  <si>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</si>
  <si>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</si>
  <si>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</si>
  <si>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</si>
  <si>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</si>
  <si>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</si>
  <si>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</si>
  <si>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</si>
  <si>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</si>
  <si>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</si>
  <si>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</si>
  <si>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</si>
  <si>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</si>
  <si>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</si>
  <si>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</si>
  <si>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</si>
  <si>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</si>
  <si>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</si>
  <si>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</si>
  <si>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</si>
  <si>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</si>
  <si>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</si>
  <si>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</si>
  <si>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</si>
  <si>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</si>
  <si>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</si>
  <si>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</si>
  <si>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</si>
  <si>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</si>
  <si>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</si>
  <si>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</si>
  <si>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</si>
  <si>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</si>
  <si>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</si>
  <si>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</si>
  <si>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</si>
  <si>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</si>
  <si>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</si>
  <si>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</si>
  <si>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</si>
  <si>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</si>
  <si>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</si>
  <si>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</si>
  <si>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</si>
  <si>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</si>
  <si>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</si>
  <si>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</si>
  <si>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</si>
  <si>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</si>
  <si>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</si>
  <si>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</si>
  <si>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</si>
  <si>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</si>
  <si>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</si>
  <si>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</si>
  <si>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</si>
  <si>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</si>
  <si>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</si>
  <si>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</si>
  <si>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</si>
  <si>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</si>
  <si>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</si>
  <si>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</si>
  <si>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</si>
  <si>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</si>
  <si>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</si>
  <si>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</si>
  <si>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</si>
  <si>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</si>
  <si>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</si>
  <si>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</si>
  <si>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</si>
  <si>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</si>
  <si>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</si>
  <si>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</si>
  <si>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</si>
  <si>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</si>
  <si>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</si>
  <si>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</si>
  <si>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</si>
  <si>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</si>
  <si>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</si>
  <si>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</si>
  <si>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</si>
  <si>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</si>
  <si>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</si>
  <si>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</si>
  <si>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</si>
  <si>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</si>
  <si>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</si>
  <si>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</si>
  <si>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</si>
  <si>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</si>
  <si>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</si>
  <si>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</si>
  <si>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</si>
  <si>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</si>
  <si>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</si>
  <si>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</si>
  <si>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</si>
  <si>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</si>
  <si>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</si>
  <si>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</si>
  <si>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</si>
  <si>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</si>
  <si>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</si>
  <si>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</si>
  <si>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</si>
  <si>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</si>
  <si>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</si>
  <si>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</si>
  <si>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</si>
  <si>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</si>
  <si>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</si>
  <si>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</si>
  <si>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</si>
  <si>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</si>
  <si>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</si>
  <si>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</si>
  <si>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</si>
  <si>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</si>
  <si>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</si>
  <si>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</si>
  <si>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</si>
  <si>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</si>
  <si>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</si>
  <si>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</si>
  <si>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</si>
  <si>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</si>
  <si>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</si>
  <si>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</si>
  <si>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</si>
  <si>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</si>
  <si>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</si>
  <si>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</si>
  <si>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</si>
  <si>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</si>
  <si>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</si>
  <si>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</si>
  <si>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</si>
  <si>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</si>
  <si>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</si>
  <si>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</si>
  <si>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</si>
  <si>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</si>
  <si>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</si>
  <si>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</si>
  <si>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</si>
  <si>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</si>
  <si>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</si>
  <si>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</si>
  <si>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</si>
  <si>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</si>
  <si>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</si>
  <si>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</si>
  <si>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</si>
  <si>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</si>
  <si>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</si>
  <si>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</si>
  <si>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</si>
  <si>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</si>
  <si>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</si>
  <si>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</si>
  <si>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</si>
  <si>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</si>
  <si>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</si>
  <si>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</si>
  <si>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</si>
  <si>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</si>
  <si>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</si>
  <si>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</si>
  <si>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</si>
  <si>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</si>
  <si>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</si>
  <si>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</si>
  <si>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</si>
  <si>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</si>
  <si>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</si>
  <si>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</si>
  <si>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</si>
  <si>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</si>
  <si>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</si>
  <si>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</si>
  <si>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</si>
  <si>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</si>
  <si>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</si>
  <si>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</si>
  <si>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</si>
  <si>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</si>
  <si>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</si>
  <si>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</si>
  <si>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</si>
  <si>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</si>
  <si>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</si>
  <si>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</si>
  <si>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</si>
  <si>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</si>
  <si>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</si>
  <si>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</si>
  <si>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</si>
  <si>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</si>
  <si>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</si>
  <si>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</si>
  <si>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</si>
  <si>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</si>
  <si>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</si>
  <si>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</si>
  <si>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</si>
  <si>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</si>
  <si>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</si>
  <si>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</si>
  <si>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</si>
  <si>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</si>
  <si>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</si>
  <si>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</si>
  <si>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</si>
  <si>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</si>
  <si>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</si>
  <si>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</si>
  <si>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</si>
  <si>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</si>
  <si>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</si>
  <si>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</si>
  <si>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</si>
  <si>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</si>
  <si>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</si>
  <si>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</si>
  <si>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</si>
  <si>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</si>
  <si>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</si>
  <si>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</si>
  <si>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</si>
  <si>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</si>
  <si>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</si>
  <si>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</si>
  <si>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</si>
  <si>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</si>
  <si>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</si>
  <si>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</si>
  <si>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</si>
  <si>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</si>
  <si>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</si>
  <si>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</si>
  <si>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</si>
  <si>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</si>
  <si>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</si>
  <si>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</si>
  <si>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</si>
  <si>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</si>
  <si>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</si>
  <si>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</si>
  <si>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</si>
  <si>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</si>
  <si>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</si>
  <si>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</si>
  <si>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</si>
  <si>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</si>
  <si>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</si>
  <si>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</si>
  <si>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</si>
  <si>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</si>
  <si>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</si>
  <si>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</si>
  <si>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</si>
  <si>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</si>
  <si>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</si>
  <si>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</si>
  <si>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</si>
  <si>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</si>
  <si>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</si>
  <si>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</si>
  <si>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</si>
  <si>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</si>
  <si>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</si>
  <si>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</si>
  <si>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</si>
  <si>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</si>
  <si>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</si>
  <si>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</si>
  <si>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</si>
  <si>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</si>
  <si>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</si>
  <si>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</si>
  <si>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</si>
  <si>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</si>
  <si>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</si>
  <si>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</si>
  <si>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</si>
  <si>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</si>
  <si>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</si>
  <si>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</si>
  <si>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</si>
  <si>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</si>
  <si>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</si>
  <si>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</si>
  <si>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</si>
  <si>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</si>
  <si>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</si>
  <si>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</si>
  <si>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</si>
  <si>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</si>
  <si>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</si>
  <si>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</si>
  <si>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</si>
  <si>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</si>
  <si>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</si>
  <si>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</si>
  <si>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</si>
  <si>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</si>
  <si>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</si>
  <si>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</si>
  <si>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</si>
  <si>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</si>
  <si>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</si>
  <si>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</si>
  <si>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</si>
  <si>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</si>
  <si>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</si>
  <si>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</si>
  <si>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</si>
  <si>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</si>
  <si>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</si>
  <si>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</si>
  <si>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</si>
  <si>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</si>
  <si>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</si>
  <si>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</si>
  <si>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</si>
  <si>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</si>
  <si>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</si>
  <si>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</si>
  <si>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</si>
  <si>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</si>
  <si>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</si>
  <si>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</si>
  <si>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</si>
  <si>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</si>
  <si>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</si>
  <si>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</si>
  <si>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</si>
  <si>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</si>
  <si>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</si>
  <si>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</si>
  <si>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</si>
  <si>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</si>
  <si>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</si>
  <si>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</si>
  <si>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</si>
  <si>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</si>
  <si>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</si>
  <si>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</si>
  <si>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</si>
  <si>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</si>
  <si>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</si>
  <si>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</si>
  <si>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</si>
  <si>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</si>
  <si>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</si>
  <si>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</si>
  <si>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</si>
  <si>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</si>
  <si>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</si>
  <si>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</si>
  <si>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</si>
  <si>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</si>
  <si>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</si>
  <si>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</si>
  <si>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</si>
  <si>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</si>
  <si>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</si>
  <si>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</si>
  <si>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</si>
  <si>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</si>
  <si>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</si>
  <si>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</si>
  <si>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</si>
  <si>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</si>
  <si>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</si>
  <si>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</si>
  <si>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</si>
  <si>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</si>
  <si>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</si>
  <si>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</si>
  <si>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</si>
  <si>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</si>
  <si>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</si>
  <si>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</si>
  <si>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</si>
  <si>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</si>
  <si>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</si>
  <si>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</si>
  <si>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</si>
  <si>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</si>
  <si>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</si>
  <si>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</si>
  <si>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</si>
  <si>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</si>
  <si>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</si>
  <si>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</si>
  <si>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</si>
  <si>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</si>
  <si>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</si>
  <si>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</si>
  <si>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</si>
  <si>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</si>
  <si>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</si>
  <si>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</si>
  <si>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</si>
  <si>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</si>
  <si>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</si>
  <si>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</si>
  <si>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</si>
  <si>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</si>
  <si>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</si>
  <si>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</si>
  <si>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</si>
  <si>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</si>
  <si>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</si>
  <si>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</si>
  <si>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</si>
  <si>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</si>
  <si>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</si>
  <si>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</si>
  <si>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</si>
  <si>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</si>
  <si>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</si>
  <si>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</si>
  <si>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</si>
  <si>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</si>
  <si>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</si>
  <si>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</si>
  <si>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</si>
  <si>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</si>
  <si>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</si>
  <si>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</si>
  <si>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</si>
  <si>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</si>
  <si>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</si>
  <si>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</si>
  <si>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</si>
  <si>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</si>
  <si>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</si>
  <si>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</si>
  <si>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</si>
  <si>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</si>
  <si>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</si>
  <si>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</si>
  <si>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</si>
  <si>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</si>
  <si>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</si>
  <si>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</si>
  <si>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</si>
  <si>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</si>
  <si>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</si>
  <si>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</si>
  <si>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</si>
  <si>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</si>
  <si>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</si>
  <si>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</si>
  <si>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</si>
  <si>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</si>
  <si>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</si>
  <si>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</si>
  <si>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</si>
  <si>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</si>
  <si>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</si>
  <si>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</si>
  <si>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</si>
  <si>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</si>
  <si>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</si>
  <si>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</si>
  <si>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</si>
  <si>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</si>
  <si>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</si>
  <si>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</si>
  <si>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</si>
  <si>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</si>
  <si>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</si>
  <si>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</si>
  <si>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</si>
  <si>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</si>
  <si>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</si>
  <si>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</si>
  <si>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</si>
  <si>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</si>
  <si>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</si>
  <si>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</si>
  <si>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</si>
  <si>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</si>
  <si>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</si>
  <si>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</si>
  <si>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</si>
  <si>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</si>
  <si>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</si>
  <si>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</si>
  <si>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</si>
  <si>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</si>
  <si>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</si>
  <si>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</si>
  <si>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</si>
  <si>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</si>
  <si>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</si>
  <si>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</si>
  <si>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</si>
  <si>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</si>
  <si>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</si>
  <si>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</si>
  <si>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</si>
  <si>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</si>
  <si>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</si>
  <si>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</si>
  <si>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</si>
  <si>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</si>
  <si>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</si>
  <si>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</si>
  <si>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</si>
  <si>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</si>
  <si>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</si>
  <si>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</si>
  <si>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</si>
  <si>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</si>
  <si>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</si>
  <si>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</si>
  <si>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</si>
  <si>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</si>
  <si>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</si>
  <si>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</si>
  <si>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</si>
  <si>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</si>
  <si>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</si>
  <si>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</si>
  <si>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</si>
  <si>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</si>
  <si>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</si>
  <si>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</si>
  <si>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</si>
  <si>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</si>
  <si>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</si>
  <si>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</si>
  <si>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</si>
  <si>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</si>
  <si>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</si>
  <si>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</si>
  <si>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</si>
  <si>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</si>
  <si>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</si>
  <si>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</si>
  <si>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</si>
  <si>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</si>
  <si>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</si>
  <si>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</si>
  <si>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</si>
  <si>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</si>
  <si>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</si>
  <si>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</si>
  <si>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</si>
  <si>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</si>
  <si>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</si>
  <si>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</si>
  <si>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</si>
  <si>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</si>
  <si>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</si>
  <si>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</si>
  <si>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</si>
  <si>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</si>
  <si>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</si>
  <si>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</si>
  <si>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</si>
  <si>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</si>
  <si>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</si>
  <si>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</si>
  <si>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</si>
  <si>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</si>
  <si>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</si>
  <si>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</si>
  <si>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</si>
  <si>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</si>
  <si>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</si>
  <si>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</si>
  <si>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</si>
  <si>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</si>
  <si>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</si>
  <si>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</si>
  <si>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</si>
  <si>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</si>
  <si>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</si>
  <si>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</si>
  <si>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</si>
  <si>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</si>
  <si>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</si>
  <si>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</si>
  <si>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</si>
  <si>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</si>
  <si>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</si>
  <si>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</si>
  <si>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</si>
  <si>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</si>
  <si>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</si>
  <si>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</si>
  <si>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</si>
  <si>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</si>
  <si>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</si>
  <si>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</si>
  <si>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</si>
  <si>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</si>
  <si>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</si>
  <si>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</si>
  <si>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</si>
  <si>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</si>
  <si>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</si>
  <si>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</si>
  <si>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</si>
  <si>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</si>
  <si>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</si>
  <si>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</si>
  <si>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</si>
  <si>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</si>
  <si>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</si>
  <si>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</si>
  <si>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</si>
  <si>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</si>
  <si>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</si>
  <si>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</si>
  <si>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</si>
  <si>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</si>
  <si>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</si>
  <si>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</si>
  <si>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</si>
  <si>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</si>
  <si>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</si>
  <si>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</si>
  <si>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</si>
  <si>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</si>
  <si>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</si>
  <si>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</si>
  <si>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</si>
  <si>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</si>
  <si>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</si>
  <si>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</si>
  <si>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</si>
  <si>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</si>
  <si>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</si>
  <si>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</si>
  <si>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</si>
  <si>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</si>
  <si>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</si>
  <si>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</si>
  <si>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</si>
  <si>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</si>
  <si>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</si>
  <si>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</si>
  <si>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</si>
  <si>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</si>
  <si>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</si>
  <si>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</si>
  <si>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</si>
  <si>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</si>
  <si>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</si>
  <si>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</si>
  <si>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</si>
  <si>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</si>
  <si>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</si>
  <si>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</si>
  <si>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</si>
  <si>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</si>
  <si>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</si>
  <si>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</si>
  <si>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</si>
  <si>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</si>
  <si>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</si>
  <si>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</si>
  <si>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</si>
  <si>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</si>
  <si>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</si>
  <si>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</si>
  <si>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</si>
  <si>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</si>
  <si>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</si>
  <si>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</si>
  <si>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</si>
  <si>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</si>
  <si>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</si>
  <si>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</si>
  <si>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</si>
  <si>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</si>
  <si>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</si>
  <si>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</si>
  <si>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</si>
  <si>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</si>
  <si>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</si>
  <si>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</si>
  <si>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</si>
  <si>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</si>
  <si>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</si>
  <si>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</si>
  <si>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</si>
  <si>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</si>
  <si>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</si>
  <si>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</si>
  <si>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</si>
  <si>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</si>
  <si>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</si>
  <si>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</si>
  <si>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</si>
  <si>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</si>
  <si>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</si>
  <si>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</si>
  <si>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</si>
  <si>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</si>
  <si>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</si>
  <si>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</si>
  <si>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</si>
  <si>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</si>
  <si>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</si>
  <si>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</si>
  <si>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</si>
  <si>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</si>
  <si>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</si>
  <si>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</si>
  <si>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</si>
  <si>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</si>
  <si>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</si>
  <si>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</si>
  <si>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</si>
  <si>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</si>
  <si>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</si>
  <si>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</si>
  <si>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</si>
  <si>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</si>
  <si>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</si>
  <si>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</si>
  <si>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</si>
  <si>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</si>
  <si>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</si>
  <si>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</si>
  <si>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</si>
  <si>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</si>
  <si>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</si>
  <si>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</si>
  <si>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</si>
  <si>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</si>
  <si>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</si>
  <si>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</si>
  <si>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</si>
  <si>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</si>
  <si>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</si>
  <si>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</si>
  <si>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</si>
  <si>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</si>
  <si>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</si>
  <si>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</si>
  <si>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</si>
  <si>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</si>
  <si>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</si>
  <si>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</si>
  <si>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</si>
  <si>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</si>
  <si>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</si>
  <si>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</si>
  <si>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</si>
  <si>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</si>
  <si>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</si>
  <si>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</si>
  <si>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</si>
  <si>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</si>
  <si>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</si>
  <si>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</si>
  <si>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</si>
  <si>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</si>
  <si>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</si>
  <si>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</si>
  <si>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</si>
  <si>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</si>
  <si>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</si>
  <si>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</si>
  <si>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</si>
  <si>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</si>
  <si>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</si>
  <si>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</si>
  <si>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</si>
  <si>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</si>
  <si>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</si>
  <si>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</si>
  <si>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</si>
  <si>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</si>
  <si>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</si>
  <si>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</si>
  <si>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</si>
  <si>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</si>
  <si>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</si>
  <si>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</si>
  <si>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</si>
  <si>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</si>
  <si>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</si>
  <si>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</si>
  <si>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</si>
  <si>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</si>
  <si>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</si>
  <si>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</si>
  <si>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</si>
  <si>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</si>
  <si>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</si>
  <si>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</si>
  <si>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</si>
  <si>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</si>
  <si>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</si>
  <si>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</si>
  <si>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</si>
  <si>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</si>
  <si>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</si>
  <si>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</si>
  <si>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</si>
  <si>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</si>
  <si>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</si>
  <si>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</si>
  <si>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</si>
  <si>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</si>
  <si>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</si>
  <si>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</si>
  <si>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</si>
  <si>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</si>
  <si>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</si>
  <si>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</si>
  <si>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</si>
  <si>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</si>
  <si>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</si>
  <si>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</si>
  <si>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</si>
  <si>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</si>
  <si>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</si>
  <si>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</si>
  <si>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</si>
  <si>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</si>
  <si>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</si>
  <si>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</si>
  <si>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</si>
  <si>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</si>
  <si>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</si>
  <si>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</si>
  <si>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</si>
  <si>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</si>
  <si>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</si>
  <si>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</si>
  <si>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</si>
  <si>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</si>
  <si>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</si>
  <si>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</si>
  <si>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</si>
  <si>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</si>
  <si>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</si>
  <si>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</si>
  <si>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</si>
  <si>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</si>
  <si>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</si>
  <si>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</si>
  <si>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</si>
  <si>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</si>
  <si>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</si>
  <si>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</si>
  <si>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</si>
  <si>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</si>
  <si>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</si>
  <si>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</si>
  <si>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</si>
  <si>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</si>
  <si>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</si>
  <si>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</si>
  <si>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</si>
  <si>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</si>
  <si>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</si>
  <si>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</si>
  <si>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</si>
  <si>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</si>
  <si>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</si>
  <si>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</si>
  <si>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</si>
  <si>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</si>
  <si>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</si>
  <si>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</si>
  <si>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</si>
  <si>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</si>
  <si>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</si>
  <si>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</si>
  <si>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</si>
  <si>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</si>
  <si>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</si>
  <si>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</si>
  <si>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</si>
  <si>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</si>
  <si>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</si>
  <si>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</si>
  <si>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</si>
  <si>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</si>
  <si>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</si>
  <si>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</si>
  <si>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</si>
  <si>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</si>
  <si>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</si>
  <si>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</si>
  <si>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</si>
  <si>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</si>
  <si>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</si>
  <si>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</si>
  <si>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</si>
  <si>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</si>
  <si>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</si>
  <si>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</si>
  <si>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</si>
  <si>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</si>
  <si>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</si>
  <si>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</si>
  <si>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</si>
  <si>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</si>
  <si>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</si>
  <si>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</si>
  <si>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</si>
  <si>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</si>
  <si>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</si>
  <si>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</si>
  <si>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</si>
  <si>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</si>
  <si>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</si>
  <si>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</si>
  <si>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</si>
  <si>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</si>
  <si>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</si>
  <si>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</si>
  <si>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</si>
  <si>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</si>
  <si>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</si>
  <si>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</si>
  <si>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</si>
  <si>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</si>
  <si>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</si>
  <si>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</si>
  <si>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</si>
  <si>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</si>
  <si>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</si>
  <si>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</si>
  <si>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</si>
  <si>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</si>
  <si>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</si>
  <si>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</si>
  <si>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</si>
  <si>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</si>
  <si>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</si>
  <si>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</si>
  <si>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</si>
  <si>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</si>
  <si>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</si>
  <si>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</si>
  <si>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</si>
  <si>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</si>
  <si>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</si>
  <si>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</si>
  <si>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</si>
  <si>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</si>
  <si>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</si>
  <si>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</si>
  <si>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</si>
  <si>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</si>
  <si>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</si>
  <si>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</si>
  <si>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</si>
  <si>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</si>
  <si>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</si>
  <si>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</si>
  <si>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</si>
  <si>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</si>
  <si>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</si>
  <si>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</si>
  <si>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</si>
  <si>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</si>
  <si>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</si>
  <si>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</si>
  <si>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</si>
  <si>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</si>
  <si>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</si>
  <si>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</si>
  <si>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</si>
  <si>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</si>
  <si>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</si>
  <si>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</si>
  <si>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</si>
  <si>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</si>
  <si>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</si>
  <si>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</si>
  <si>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</si>
  <si>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</si>
  <si>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</si>
  <si>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</si>
  <si>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</si>
  <si>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</si>
  <si>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</si>
  <si>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</si>
  <si>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</si>
  <si>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</si>
  <si>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</si>
  <si>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</si>
  <si>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</si>
  <si>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</si>
  <si>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</si>
  <si>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</si>
  <si>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</si>
  <si>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</si>
  <si>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</si>
  <si>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</si>
  <si>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</si>
  <si>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</si>
  <si>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</si>
  <si>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</si>
  <si>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</si>
  <si>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</si>
  <si>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</si>
  <si>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</si>
  <si>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</si>
  <si>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</si>
  <si>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</si>
  <si>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</si>
  <si>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</si>
  <si>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</si>
  <si>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</si>
  <si>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</si>
  <si>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</si>
  <si>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</si>
  <si>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</si>
  <si>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</si>
  <si>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</si>
  <si>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</si>
  <si>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</si>
  <si>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</si>
  <si>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</si>
  <si>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</si>
  <si>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</si>
  <si>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</si>
  <si>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</si>
  <si>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</si>
  <si>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</si>
  <si>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</si>
  <si>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</si>
  <si>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</si>
  <si>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</si>
  <si>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</si>
  <si>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</si>
  <si>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</si>
  <si>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</si>
  <si>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</si>
  <si>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</si>
  <si>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</si>
  <si>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</si>
  <si>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</si>
  <si>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</si>
  <si>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</si>
  <si>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</si>
  <si>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</si>
  <si>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</si>
  <si>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</si>
  <si>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</si>
  <si>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</si>
  <si>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</si>
  <si>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</si>
  <si>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</si>
  <si>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</si>
  <si>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</si>
  <si>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</si>
  <si>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</si>
  <si>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</si>
  <si>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</si>
  <si>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</si>
  <si>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</si>
  <si>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</si>
  <si>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</si>
  <si>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</si>
  <si>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</si>
  <si>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</si>
  <si>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</si>
  <si>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</si>
  <si>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</si>
  <si>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</si>
  <si>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</si>
  <si>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</si>
  <si>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</si>
  <si>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</si>
  <si>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</si>
  <si>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</si>
  <si>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</si>
  <si>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</si>
  <si>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</si>
  <si>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</si>
  <si>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</si>
  <si>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</si>
  <si>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</si>
  <si>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</si>
  <si>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</si>
  <si>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</si>
  <si>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</si>
  <si>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</si>
  <si>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</si>
  <si>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</si>
  <si>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</si>
  <si>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</si>
  <si>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</si>
  <si>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</si>
  <si>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</si>
  <si>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</si>
  <si>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</si>
  <si>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</si>
  <si>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</si>
  <si>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</si>
  <si>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</si>
  <si>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</si>
  <si>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</si>
  <si>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</si>
  <si>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</si>
  <si>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</si>
  <si>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</si>
  <si>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</si>
  <si>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</si>
  <si>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</si>
  <si>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</si>
  <si>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</si>
  <si>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</si>
  <si>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</si>
  <si>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</si>
  <si>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</si>
  <si>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</si>
  <si>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</si>
  <si>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</si>
  <si>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</si>
  <si>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</si>
  <si>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</si>
  <si>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</si>
  <si>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</si>
  <si>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</si>
  <si>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</si>
  <si>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</si>
  <si>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</si>
  <si>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</si>
  <si>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</si>
  <si>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</si>
  <si>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</si>
  <si>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</si>
  <si>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</si>
  <si>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</si>
  <si>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</si>
  <si>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</si>
  <si>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</si>
  <si>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</si>
  <si>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</si>
  <si>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</si>
  <si>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</si>
  <si>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</si>
  <si>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</si>
  <si>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</si>
  <si>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</si>
  <si>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</si>
  <si>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</si>
  <si>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</si>
  <si>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</si>
  <si>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</si>
  <si>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</si>
  <si>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</si>
  <si>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</si>
  <si>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</si>
  <si>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</si>
  <si>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</si>
  <si>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</si>
  <si>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</si>
  <si>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</si>
  <si>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</si>
  <si>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</si>
  <si>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</si>
  <si>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</si>
  <si>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</si>
  <si>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</si>
  <si>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</si>
  <si>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</si>
  <si>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</si>
  <si>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</si>
  <si>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</si>
  <si>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</si>
  <si>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</si>
  <si>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</si>
  <si>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</si>
  <si>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</si>
  <si>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</si>
  <si>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</si>
  <si>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</si>
  <si>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</si>
  <si>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</si>
  <si>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</si>
  <si>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</si>
  <si>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</si>
  <si>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</si>
  <si>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</si>
  <si>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</si>
  <si>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</si>
  <si>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</si>
  <si>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</si>
  <si>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</si>
  <si>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</si>
  <si>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</si>
  <si>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</si>
  <si>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</si>
  <si>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</si>
  <si>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</si>
  <si>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</si>
  <si>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</si>
  <si>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</si>
  <si>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</si>
  <si>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</si>
  <si>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</si>
  <si>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</si>
  <si>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</si>
  <si>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</si>
  <si>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</si>
  <si>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</si>
  <si>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</si>
  <si>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</si>
  <si>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</si>
  <si>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</si>
  <si>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</si>
  <si>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</si>
  <si>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</si>
  <si>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</si>
  <si>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</si>
  <si>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</si>
  <si>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</si>
  <si>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</si>
  <si>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</si>
  <si>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</si>
  <si>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</si>
  <si>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</si>
  <si>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</si>
  <si>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</si>
  <si>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</si>
  <si>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</si>
  <si>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</si>
  <si>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</si>
  <si>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</si>
  <si>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</si>
  <si>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</si>
  <si>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</si>
  <si>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</si>
  <si>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</si>
  <si>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</si>
  <si>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</si>
  <si>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</si>
  <si>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</si>
  <si>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</si>
  <si>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</si>
  <si>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</si>
  <si>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</si>
  <si>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</si>
  <si>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</si>
  <si>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</si>
  <si>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</si>
  <si>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</si>
  <si>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</si>
  <si>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</si>
  <si>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</si>
  <si>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</si>
  <si>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</si>
  <si>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</si>
  <si>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</si>
  <si>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</si>
  <si>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</si>
  <si>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</si>
  <si>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</si>
  <si>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</si>
  <si>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</si>
  <si>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</si>
  <si>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</si>
  <si>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</si>
  <si>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</si>
  <si>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</si>
  <si>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</si>
  <si>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</si>
  <si>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</si>
  <si>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</si>
  <si>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</si>
  <si>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</si>
  <si>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</si>
  <si>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</si>
  <si>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</si>
  <si>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</si>
  <si>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</si>
  <si>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</si>
  <si>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</si>
  <si>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</si>
  <si>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</si>
  <si>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</si>
  <si>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</si>
  <si>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</si>
  <si>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</si>
  <si>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</si>
  <si>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</si>
  <si>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</si>
  <si>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</si>
  <si>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</si>
  <si>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</si>
  <si>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</si>
  <si>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</si>
  <si>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</si>
  <si>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</si>
  <si>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</si>
  <si>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</si>
  <si>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</si>
  <si>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</si>
  <si>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</si>
  <si>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</si>
  <si>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</si>
  <si>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</si>
  <si>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</si>
  <si>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</si>
  <si>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</si>
  <si>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</si>
  <si>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</si>
  <si>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</si>
  <si>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</si>
  <si>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</si>
  <si>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</si>
  <si>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</si>
  <si>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</si>
  <si>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</si>
  <si>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</si>
  <si>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</si>
  <si>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</si>
  <si>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</si>
  <si>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</si>
  <si>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</si>
  <si>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</si>
  <si>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</si>
  <si>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</si>
  <si>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</si>
  <si>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</si>
  <si>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</si>
  <si>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</si>
  <si>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</si>
  <si>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</si>
  <si>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</si>
  <si>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</si>
  <si>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</si>
  <si>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</si>
  <si>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</si>
  <si>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</si>
  <si>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</si>
  <si>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</si>
  <si>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</si>
  <si>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</si>
  <si>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</si>
  <si>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</si>
  <si>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</si>
  <si>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</si>
  <si>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</si>
  <si>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</si>
  <si>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</si>
  <si>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</si>
  <si>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</si>
  <si>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</si>
  <si>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</si>
  <si>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</si>
  <si>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</si>
  <si>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</si>
  <si>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</si>
  <si>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</si>
  <si>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</si>
  <si>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</si>
  <si>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</si>
  <si>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</si>
  <si>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</si>
  <si>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</si>
  <si>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</si>
  <si>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</si>
  <si>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</si>
  <si>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</si>
  <si>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</si>
  <si>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</si>
  <si>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</si>
  <si>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</si>
  <si>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</si>
  <si>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</si>
  <si>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</si>
  <si>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</si>
  <si>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</si>
  <si>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</si>
  <si>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</si>
  <si>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</si>
  <si>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</si>
  <si>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</si>
  <si>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</si>
  <si>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</si>
  <si>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</si>
  <si>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</si>
  <si>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</si>
  <si>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</si>
  <si>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</si>
  <si>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</si>
  <si>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</si>
  <si>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</si>
  <si>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</si>
  <si>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</si>
  <si>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</si>
  <si>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</si>
  <si>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</si>
  <si>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</si>
  <si>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</si>
  <si>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</si>
  <si>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</si>
  <si>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</si>
  <si>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</si>
  <si>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</si>
  <si>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</si>
  <si>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</si>
  <si>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</si>
  <si>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</si>
  <si>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</si>
  <si>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</si>
  <si>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</si>
  <si>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</si>
  <si>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</si>
  <si>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</si>
  <si>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</si>
  <si>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</si>
  <si>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</si>
  <si>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</si>
  <si>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</si>
  <si>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</si>
  <si>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</si>
  <si>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</si>
  <si>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</si>
  <si>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</si>
  <si>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</si>
  <si>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</si>
  <si>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</si>
  <si>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</si>
  <si>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</si>
  <si>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</si>
  <si>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</si>
  <si>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</si>
  <si>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</si>
  <si>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</si>
  <si>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</si>
  <si>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</si>
  <si>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</si>
  <si>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</si>
  <si>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</si>
  <si>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</si>
  <si>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</si>
  <si>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</si>
  <si>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</si>
  <si>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</si>
  <si>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</si>
  <si>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</si>
  <si>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</si>
  <si>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</si>
  <si>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</si>
  <si>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</si>
  <si>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</si>
  <si>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</si>
  <si>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</si>
  <si>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</si>
  <si>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</si>
  <si>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</si>
  <si>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</si>
  <si>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</si>
  <si>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</si>
  <si>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</si>
  <si>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</si>
  <si>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</si>
  <si>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</si>
  <si>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</si>
  <si>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</si>
  <si>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</si>
  <si>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</si>
  <si>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</si>
  <si>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</si>
  <si>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</si>
  <si>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</si>
  <si>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</si>
  <si>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</si>
  <si>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</si>
  <si>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</si>
  <si>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</si>
  <si>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</si>
  <si>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</si>
  <si>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</si>
  <si>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</si>
  <si>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</si>
  <si>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</si>
  <si>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</si>
  <si>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</si>
  <si>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</si>
  <si>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</si>
  <si>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</si>
  <si>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</si>
  <si>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</si>
  <si>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</si>
  <si>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</si>
  <si>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</si>
  <si>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</si>
  <si>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</si>
  <si>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</si>
  <si>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</si>
  <si>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</si>
  <si>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</si>
  <si>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</si>
  <si>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</si>
  <si>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</si>
  <si>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</si>
  <si>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</si>
  <si>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</si>
  <si>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</si>
  <si>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</si>
  <si>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</si>
  <si>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</si>
  <si>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</si>
  <si>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</si>
  <si>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</si>
  <si>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</si>
  <si>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</si>
  <si>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</si>
  <si>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</si>
  <si>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</si>
  <si>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</si>
  <si>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</si>
  <si>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</si>
  <si>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</si>
  <si>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</si>
  <si>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</si>
  <si>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</si>
  <si>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</si>
  <si>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</si>
  <si>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</si>
  <si>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</si>
  <si>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</si>
  <si>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</si>
  <si>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</si>
  <si>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</si>
  <si>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</si>
  <si>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</si>
  <si>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</si>
  <si>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</si>
  <si>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</si>
  <si>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</si>
  <si>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</si>
  <si>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</si>
  <si>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</si>
  <si>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</si>
  <si>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</si>
  <si>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</si>
  <si>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</si>
  <si>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</si>
  <si>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</si>
  <si>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</si>
  <si>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</si>
  <si>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</si>
  <si>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</si>
  <si>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</si>
  <si>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</si>
  <si>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</si>
  <si>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</si>
  <si>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</si>
  <si>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</si>
  <si>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</si>
  <si>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</si>
  <si>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</si>
  <si>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</si>
  <si>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</si>
  <si>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</si>
  <si>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</si>
  <si>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</si>
  <si>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</si>
  <si>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</si>
  <si>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</si>
  <si>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</si>
  <si>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</si>
  <si>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</si>
  <si>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</si>
  <si>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</si>
  <si>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</si>
  <si>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</si>
  <si>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</si>
  <si>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</si>
  <si>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</si>
  <si>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</si>
  <si>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</si>
  <si>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</si>
  <si>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</si>
  <si>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</si>
  <si>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</si>
  <si>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</si>
  <si>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</si>
  <si>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</si>
  <si>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</si>
  <si>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</si>
  <si>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</si>
  <si>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</si>
  <si>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</si>
  <si>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</si>
  <si>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</si>
  <si>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</si>
  <si>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</si>
  <si>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</si>
  <si>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</si>
  <si>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</si>
  <si>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</si>
  <si>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</si>
  <si>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</si>
  <si>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</si>
  <si>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</si>
  <si>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</si>
  <si>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</si>
  <si>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</si>
  <si>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</si>
  <si>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</si>
  <si>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</si>
  <si>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</si>
  <si>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</si>
  <si>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</si>
  <si>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</si>
  <si>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</si>
  <si>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</si>
  <si>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</si>
  <si>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</si>
  <si>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</si>
  <si>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</si>
  <si>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</si>
  <si>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</si>
  <si>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</si>
  <si>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</si>
  <si>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</si>
  <si>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</si>
  <si>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</si>
  <si>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</si>
  <si>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</si>
  <si>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</si>
  <si>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</si>
  <si>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</si>
  <si>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</si>
  <si>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</si>
  <si>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</si>
  <si>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</si>
  <si>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</si>
  <si>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</si>
  <si>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</si>
  <si>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</si>
  <si>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</si>
  <si>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</si>
  <si>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</si>
  <si>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</si>
  <si>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</si>
  <si>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</si>
  <si>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</si>
  <si>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</si>
  <si>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</si>
  <si>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</si>
  <si>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</si>
  <si>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</si>
  <si>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</si>
  <si>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</si>
  <si>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</si>
  <si>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</si>
  <si>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</si>
  <si>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</si>
  <si>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</si>
  <si>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</si>
  <si>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</si>
  <si>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</si>
  <si>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</si>
  <si>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</si>
  <si>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</si>
  <si>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</si>
  <si>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</si>
  <si>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</si>
  <si>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</si>
  <si>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</si>
  <si>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</si>
  <si>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</si>
  <si>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</si>
  <si>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</si>
  <si>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</si>
  <si>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</si>
  <si>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</si>
  <si>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</si>
  <si>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</si>
  <si>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</si>
  <si>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</si>
  <si>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</si>
  <si>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</si>
  <si>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</si>
  <si>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</si>
  <si>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</si>
  <si>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</si>
  <si>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</si>
  <si>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</si>
  <si>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</si>
  <si>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</si>
  <si>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</si>
  <si>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</si>
  <si>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</si>
  <si>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</si>
  <si>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</si>
  <si>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</si>
  <si>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</si>
  <si>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</si>
  <si>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</si>
  <si>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</si>
  <si>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</si>
  <si>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</si>
  <si>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</si>
  <si>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</si>
  <si>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</si>
  <si>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</si>
  <si>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</si>
  <si>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</si>
  <si>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</si>
  <si>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</si>
  <si>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</si>
  <si>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</si>
  <si>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</si>
  <si>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</si>
  <si>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</si>
  <si>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</si>
  <si>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</si>
  <si>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</si>
  <si>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</si>
  <si>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</si>
  <si>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</si>
  <si>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</si>
  <si>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</si>
  <si>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</si>
  <si>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</si>
  <si>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</si>
  <si>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</si>
  <si>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</si>
  <si>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</si>
  <si>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</si>
  <si>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</si>
  <si>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</si>
  <si>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</si>
  <si>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</si>
  <si>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</si>
  <si>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</si>
  <si>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</si>
  <si>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</si>
  <si>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</si>
  <si>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</si>
  <si>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</si>
  <si>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</si>
  <si>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</si>
  <si>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</si>
  <si>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</si>
  <si>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</si>
  <si>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</si>
  <si>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</si>
  <si>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</si>
  <si>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</si>
  <si>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</si>
  <si>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</si>
  <si>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</si>
  <si>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</si>
  <si>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</si>
  <si>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</si>
  <si>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</si>
  <si>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</si>
  <si>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</si>
  <si>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</si>
  <si>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</si>
  <si>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</si>
  <si>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</si>
  <si>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</si>
  <si>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</si>
  <si>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</si>
  <si>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</si>
  <si>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</si>
  <si>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</si>
  <si>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</si>
  <si>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</si>
  <si>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</si>
  <si>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</si>
  <si>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</si>
  <si>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</si>
  <si>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</si>
  <si>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</si>
  <si>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</si>
  <si>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</si>
  <si>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</si>
  <si>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</si>
  <si>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</si>
  <si>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</si>
  <si>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</si>
  <si>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</si>
  <si>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</si>
  <si>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</si>
  <si>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</si>
  <si>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</si>
  <si>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</si>
  <si>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</si>
  <si>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</si>
  <si>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</si>
  <si>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</si>
  <si>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</si>
  <si>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</si>
  <si>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</si>
  <si>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</si>
  <si>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</si>
  <si>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</si>
  <si>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</si>
  <si>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</si>
  <si>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</si>
  <si>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</si>
  <si>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</si>
  <si>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</si>
  <si>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</si>
  <si>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</si>
  <si>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</si>
  <si>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</si>
  <si>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</si>
  <si>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</si>
  <si>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</si>
  <si>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</si>
  <si>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</si>
  <si>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</si>
  <si>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</si>
  <si>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</si>
  <si>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</si>
  <si>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</si>
  <si>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</si>
  <si>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</si>
  <si>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</si>
  <si>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</si>
  <si>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</si>
  <si>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</si>
  <si>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</si>
  <si>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</si>
  <si>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</si>
  <si>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</si>
  <si>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</si>
  <si>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</si>
  <si>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</si>
  <si>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</si>
  <si>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</si>
  <si>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</si>
  <si>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</si>
  <si>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</si>
  <si>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</si>
  <si>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</si>
  <si>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</si>
  <si>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</si>
  <si>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</si>
  <si>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</si>
  <si>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</si>
  <si>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</si>
  <si>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</si>
  <si>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</si>
  <si>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</si>
  <si>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</si>
  <si>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</si>
  <si>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</si>
  <si>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</si>
  <si>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</si>
  <si>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</si>
  <si>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</si>
  <si>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</si>
  <si>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</si>
  <si>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</si>
  <si>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</si>
  <si>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</si>
  <si>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</si>
  <si>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</si>
  <si>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</si>
  <si>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</si>
  <si>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</si>
  <si>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</si>
  <si>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</si>
  <si>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</si>
  <si>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</si>
  <si>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</si>
  <si>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</si>
  <si>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</si>
  <si>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</si>
  <si>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</si>
  <si>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</si>
  <si>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</si>
  <si>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</si>
  <si>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</si>
  <si>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</si>
  <si>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</si>
  <si>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</si>
  <si>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</si>
  <si>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</si>
  <si>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</si>
  <si>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</si>
  <si>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</si>
  <si>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</si>
  <si>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</si>
  <si>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</si>
  <si>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</si>
  <si>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</si>
  <si>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</si>
  <si>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</si>
  <si>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</si>
  <si>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</si>
  <si>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</si>
  <si>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</si>
  <si>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</si>
  <si>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</si>
  <si>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</si>
  <si>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</si>
  <si>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</si>
  <si>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</si>
  <si>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</si>
  <si>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</si>
  <si>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</si>
  <si>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</si>
  <si>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</si>
  <si>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</si>
  <si>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</si>
  <si>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</si>
  <si>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</si>
  <si>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</si>
  <si>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</si>
  <si>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</si>
  <si>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</si>
  <si>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</si>
  <si>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</si>
  <si>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</si>
  <si>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</si>
  <si>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</si>
  <si>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</si>
  <si>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</si>
  <si>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</si>
  <si>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</si>
  <si>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</si>
  <si>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</si>
  <si>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</si>
  <si>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</si>
  <si>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</si>
  <si>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</si>
  <si>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</si>
  <si>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</si>
  <si>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</si>
  <si>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</si>
  <si>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</si>
  <si>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</si>
  <si>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</si>
  <si>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</si>
  <si>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</si>
  <si>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</si>
  <si>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</si>
  <si>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</si>
  <si>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</si>
  <si>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</si>
  <si>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</si>
  <si>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</si>
  <si>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</si>
  <si>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</si>
  <si>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</si>
  <si>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</si>
  <si>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</si>
  <si>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</si>
  <si>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</si>
  <si>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</si>
  <si>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</si>
  <si>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</si>
  <si>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</si>
  <si>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</si>
  <si>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</si>
  <si>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</si>
  <si>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</si>
  <si>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</si>
  <si>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</si>
  <si>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</si>
  <si>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</si>
  <si>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</si>
  <si>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</si>
  <si>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</si>
  <si>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</si>
  <si>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</si>
  <si>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</si>
  <si>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</si>
  <si>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</si>
  <si>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</si>
  <si>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</si>
  <si>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</si>
  <si>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</si>
  <si>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</si>
  <si>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</si>
  <si>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</si>
  <si>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</si>
  <si>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</si>
  <si>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</si>
  <si>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</si>
  <si>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</si>
  <si>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</si>
  <si>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</si>
  <si>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</si>
  <si>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</si>
  <si>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</si>
  <si>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</si>
  <si>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</si>
  <si>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</si>
  <si>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</si>
  <si>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</si>
  <si>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</si>
  <si>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</si>
  <si>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</si>
  <si>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</si>
  <si>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</si>
  <si>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</si>
  <si>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</si>
  <si>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</si>
  <si>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</si>
  <si>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</si>
  <si>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</si>
  <si>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</si>
  <si>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</si>
  <si>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</si>
  <si>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</si>
  <si>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</si>
  <si>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</si>
  <si>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</si>
  <si>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</si>
  <si>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</si>
  <si>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</si>
  <si>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</si>
  <si>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</si>
  <si>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</si>
  <si>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</si>
  <si>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</si>
  <si>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</si>
  <si>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</si>
  <si>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</si>
  <si>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</si>
  <si>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</si>
  <si>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</si>
  <si>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</si>
  <si>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</si>
  <si>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</si>
  <si>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</si>
  <si>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</si>
  <si>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</si>
  <si>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</si>
  <si>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</si>
  <si>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</si>
  <si>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</si>
  <si>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</si>
  <si>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</si>
  <si>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</si>
  <si>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</si>
  <si>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</si>
  <si>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</si>
  <si>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</si>
  <si>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</si>
  <si>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</si>
  <si>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</si>
  <si>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</si>
  <si>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</si>
  <si>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</si>
  <si>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</si>
  <si>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</si>
  <si>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</si>
  <si>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</si>
  <si>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</si>
  <si>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</si>
  <si>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</si>
  <si>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</si>
  <si>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</si>
  <si>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</si>
  <si>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</si>
  <si>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</si>
  <si>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</si>
  <si>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</si>
  <si>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</si>
  <si>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</si>
  <si>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</si>
  <si>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</si>
  <si>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</si>
  <si>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</si>
  <si>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</si>
  <si>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</si>
  <si>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</si>
  <si>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</si>
  <si>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</si>
  <si>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</si>
  <si>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</si>
  <si>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</si>
  <si>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</si>
  <si>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</si>
  <si>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</si>
  <si>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</si>
  <si>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</si>
  <si>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</si>
  <si>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</si>
  <si>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</si>
  <si>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</si>
  <si>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</si>
  <si>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</si>
  <si>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</si>
  <si>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</si>
  <si>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</si>
  <si>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</si>
  <si>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</si>
  <si>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</si>
  <si>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</si>
  <si>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</si>
  <si>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</si>
  <si>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</si>
  <si>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</si>
  <si>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</si>
  <si>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</si>
  <si>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</si>
  <si>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</si>
  <si>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</si>
  <si>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</si>
  <si>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</si>
  <si>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</si>
  <si>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</si>
  <si>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</si>
  <si>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</si>
  <si>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</si>
  <si>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</si>
  <si>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</si>
  <si>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</si>
  <si>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</si>
  <si>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</si>
  <si>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</si>
  <si>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</si>
  <si>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</si>
  <si>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</si>
  <si>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</si>
  <si>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</si>
  <si>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</si>
  <si>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</si>
  <si>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</si>
  <si>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</si>
  <si>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</si>
  <si>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</si>
  <si>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</si>
  <si>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</si>
  <si>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</si>
  <si>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</si>
  <si>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</si>
  <si>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</si>
  <si>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</si>
  <si>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</si>
  <si>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</si>
  <si>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</si>
  <si>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</si>
  <si>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</si>
  <si>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</si>
  <si>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</si>
  <si>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</si>
  <si>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</si>
  <si>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</si>
  <si>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</si>
  <si>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</si>
  <si>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</si>
  <si>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</si>
  <si>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</si>
  <si>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</si>
  <si>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</si>
  <si>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</si>
  <si>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</si>
  <si>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</si>
  <si>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</si>
  <si>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</si>
  <si>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</si>
  <si>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</si>
  <si>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</si>
  <si>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</si>
  <si>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</si>
  <si>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</si>
  <si>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</si>
  <si>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</si>
  <si>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</si>
  <si>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</si>
  <si>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</si>
  <si>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</si>
  <si>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</si>
  <si>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</si>
  <si>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</si>
  <si>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</si>
  <si>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</si>
  <si>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</si>
  <si>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</si>
  <si>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</si>
  <si>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</si>
  <si>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</si>
  <si>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</si>
  <si>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</si>
  <si>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</si>
  <si>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</si>
  <si>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</si>
  <si>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</si>
  <si>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</si>
  <si>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</si>
  <si>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</si>
  <si>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</si>
  <si>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</si>
  <si>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</si>
  <si>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</si>
  <si>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</si>
  <si>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</si>
  <si>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</si>
  <si>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</si>
  <si>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</si>
  <si>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</si>
  <si>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</si>
  <si>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</si>
  <si>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</si>
  <si>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</si>
  <si>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</si>
  <si>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</si>
  <si>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</si>
  <si>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</si>
  <si>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</si>
  <si>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</si>
  <si>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</si>
  <si>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</si>
  <si>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</si>
  <si>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</si>
  <si>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</si>
  <si>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</si>
  <si>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</si>
  <si>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</si>
  <si>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</si>
  <si>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</si>
  <si>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</si>
  <si>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</si>
  <si>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</si>
  <si>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</si>
  <si>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</si>
  <si>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</si>
  <si>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</si>
  <si>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</si>
  <si>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</si>
  <si>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</si>
  <si>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</si>
  <si>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</si>
  <si>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</si>
  <si>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</si>
  <si>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</si>
  <si>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</si>
  <si>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</si>
  <si>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</si>
  <si>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</si>
  <si>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</si>
  <si>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</si>
  <si>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</si>
  <si>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</si>
  <si>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</si>
  <si>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</si>
  <si>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</si>
  <si>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</si>
  <si>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</si>
  <si>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</si>
  <si>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</si>
  <si>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</si>
  <si>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</si>
  <si>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</si>
  <si>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</si>
  <si>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</si>
  <si>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</si>
  <si>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</si>
  <si>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</si>
  <si>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</si>
  <si>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</si>
  <si>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</si>
  <si>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</si>
  <si>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</si>
  <si>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</si>
  <si>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</si>
  <si>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</si>
  <si>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</si>
  <si>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</si>
  <si>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</si>
  <si>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</si>
  <si>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</si>
  <si>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</si>
  <si>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</si>
  <si>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</si>
  <si>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</si>
  <si>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</si>
  <si>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</si>
  <si>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</si>
  <si>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</si>
  <si>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</si>
  <si>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</si>
  <si>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</si>
  <si>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</si>
  <si>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</si>
  <si>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</si>
  <si>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</si>
  <si>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</si>
  <si>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</si>
  <si>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</si>
  <si>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</si>
  <si>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</si>
  <si>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</si>
  <si>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</si>
  <si>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</si>
  <si>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</si>
  <si>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</si>
  <si>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</si>
  <si>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</si>
  <si>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</si>
  <si>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</si>
  <si>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</si>
  <si>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</si>
  <si>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</si>
  <si>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</si>
  <si>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</si>
  <si>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</si>
  <si>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</si>
  <si>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</si>
  <si>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</si>
  <si>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</si>
  <si>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</si>
  <si>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</si>
  <si>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</si>
  <si>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</si>
  <si>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</si>
  <si>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</si>
  <si>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</si>
  <si>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</si>
  <si>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</si>
  <si>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</si>
  <si>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</si>
  <si>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</si>
  <si>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</si>
  <si>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</si>
  <si>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</si>
  <si>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</si>
  <si>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</si>
  <si>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</si>
  <si>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</si>
  <si>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</si>
  <si>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</si>
  <si>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</si>
  <si>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</si>
  <si>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</si>
  <si>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</si>
  <si>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</si>
  <si>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</si>
  <si>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</si>
  <si>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</si>
  <si>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</si>
  <si>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</si>
  <si>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</si>
  <si>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</si>
  <si>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</si>
  <si>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</si>
  <si>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</si>
  <si>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</si>
  <si>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</si>
  <si>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</si>
  <si>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</si>
  <si>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</si>
  <si>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</si>
  <si>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</si>
  <si>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</si>
  <si>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</si>
  <si>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</si>
  <si>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</si>
  <si>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</si>
  <si>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</si>
  <si>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</si>
  <si>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</si>
  <si>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</si>
  <si>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</si>
  <si>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</si>
  <si>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</si>
  <si>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</si>
  <si>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</si>
  <si>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</si>
  <si>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</si>
  <si>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</si>
  <si>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</si>
  <si>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</si>
  <si>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</si>
  <si>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</si>
  <si>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</si>
  <si>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</si>
  <si>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</si>
  <si>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</si>
  <si>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</si>
  <si>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</si>
  <si>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</si>
  <si>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</si>
  <si>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</si>
  <si>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</si>
  <si>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</si>
  <si>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</si>
  <si>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</si>
  <si>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</si>
  <si>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</si>
  <si>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</si>
  <si>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</si>
  <si>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</si>
  <si>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</si>
  <si>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</si>
  <si>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</si>
  <si>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</si>
  <si>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</si>
  <si>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</si>
  <si>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</si>
  <si>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</si>
  <si>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</si>
  <si>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</si>
  <si>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</si>
  <si>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</si>
  <si>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</si>
  <si>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</si>
  <si>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</si>
  <si>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</si>
  <si>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</si>
  <si>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</si>
  <si>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</si>
  <si>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</si>
  <si>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</si>
  <si>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</si>
  <si>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</si>
  <si>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</si>
  <si>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</si>
  <si>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</si>
  <si>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</si>
  <si>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</si>
  <si>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</si>
  <si>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</si>
  <si>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</si>
  <si>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</si>
  <si>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</si>
  <si>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</si>
  <si>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</si>
  <si>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</si>
  <si>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</si>
  <si>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</si>
  <si>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</si>
  <si>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</si>
  <si>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</si>
  <si>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</si>
  <si>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</si>
  <si>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</si>
  <si>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</si>
  <si>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</si>
  <si>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</si>
  <si>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</si>
  <si>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</si>
  <si>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</si>
  <si>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</si>
  <si>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</si>
  <si>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</si>
  <si>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</si>
  <si>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</si>
  <si>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</si>
  <si>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</si>
  <si>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</si>
  <si>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</si>
  <si>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</si>
  <si>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</si>
  <si>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</si>
  <si>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</si>
  <si>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</si>
  <si>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</si>
  <si>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</si>
  <si>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</si>
  <si>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</si>
  <si>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</si>
  <si>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</si>
  <si>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</si>
  <si>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</si>
  <si>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</si>
  <si>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</si>
  <si>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</si>
  <si>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</si>
  <si>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</si>
  <si>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</si>
  <si>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</si>
  <si>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</si>
  <si>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</si>
  <si>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</si>
  <si>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</si>
  <si>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</si>
  <si>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</si>
  <si>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</si>
  <si>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</si>
  <si>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</si>
  <si>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</si>
  <si>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</si>
  <si>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</si>
  <si>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</si>
  <si>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</si>
  <si>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</si>
  <si>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</si>
  <si>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</si>
  <si>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</si>
  <si>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</si>
  <si>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</si>
  <si>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</si>
  <si>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</si>
  <si>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</si>
  <si>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</si>
  <si>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</si>
  <si>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</si>
  <si>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</si>
  <si>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</si>
  <si>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</si>
  <si>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</si>
  <si>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</si>
  <si>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</si>
  <si>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</si>
  <si>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</si>
  <si>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</si>
  <si>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</si>
  <si>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</si>
  <si>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</si>
  <si>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</si>
  <si>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</si>
  <si>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</si>
  <si>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</si>
  <si>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</si>
  <si>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</si>
  <si>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</si>
  <si>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</si>
  <si>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</si>
  <si>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</si>
  <si>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</si>
  <si>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</si>
  <si>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</si>
  <si>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</si>
  <si>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</si>
  <si>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</si>
  <si>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</si>
  <si>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</si>
  <si>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</si>
  <si>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</si>
  <si>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</si>
  <si>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</si>
  <si>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</si>
  <si>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</si>
  <si>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</si>
  <si>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</si>
  <si>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</si>
  <si>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</si>
  <si>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</si>
  <si>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</si>
  <si>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</si>
  <si>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</si>
  <si>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</si>
  <si>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</si>
  <si>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</si>
  <si>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</si>
  <si>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</si>
  <si>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</si>
  <si>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</si>
  <si>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</si>
  <si>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</si>
  <si>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</si>
  <si>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</si>
  <si>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</si>
  <si>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</si>
  <si>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</si>
  <si>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</si>
  <si>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</si>
  <si>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</si>
  <si>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</si>
  <si>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</si>
  <si>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</si>
  <si>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</si>
  <si>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</si>
  <si>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</si>
  <si>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</si>
  <si>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</si>
  <si>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</si>
  <si>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</si>
  <si>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</si>
  <si>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</si>
  <si>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</si>
  <si>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</si>
  <si>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</si>
  <si>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</si>
  <si>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</si>
  <si>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</si>
  <si>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</si>
  <si>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</si>
  <si>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</si>
  <si>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</si>
  <si>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</si>
  <si>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</si>
  <si>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</si>
  <si>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</si>
  <si>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</si>
  <si>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</si>
  <si>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</si>
  <si>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</si>
  <si>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</si>
  <si>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</si>
  <si>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</si>
  <si>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</si>
  <si>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</si>
  <si>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</si>
  <si>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</si>
  <si>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</si>
  <si>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</si>
  <si>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</si>
  <si>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</si>
  <si>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</si>
  <si>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</si>
  <si>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</si>
  <si>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</si>
  <si>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</si>
  <si>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</si>
  <si>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</si>
  <si>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</si>
  <si>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</si>
  <si>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</si>
  <si>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</si>
  <si>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</si>
  <si>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</si>
  <si>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</si>
  <si>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</si>
  <si>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</si>
  <si>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</si>
  <si>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</si>
  <si>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</si>
  <si>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</si>
  <si>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</si>
  <si>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</si>
  <si>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</si>
  <si>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</si>
  <si>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</si>
  <si>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</si>
  <si>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</si>
  <si>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</si>
  <si>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</si>
  <si>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</si>
  <si>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</si>
  <si>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</si>
  <si>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</si>
  <si>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</si>
  <si>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</si>
  <si>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</si>
  <si>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</si>
  <si>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</si>
  <si>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</si>
  <si>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</si>
  <si>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</si>
  <si>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</si>
  <si>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</si>
  <si>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</si>
  <si>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</si>
  <si>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</si>
  <si>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</si>
  <si>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</si>
  <si>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</si>
  <si>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</si>
  <si>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</si>
  <si>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</si>
  <si>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</si>
  <si>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</si>
  <si>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</si>
  <si>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</si>
  <si>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</si>
  <si>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</si>
  <si>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</si>
  <si>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</si>
  <si>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</si>
  <si>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</si>
  <si>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</si>
  <si>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</si>
  <si>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</si>
  <si>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</si>
  <si>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</si>
  <si>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</si>
  <si>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</si>
  <si>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</si>
  <si>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</si>
  <si>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</si>
  <si>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</si>
  <si>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</si>
  <si>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</si>
  <si>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</si>
  <si>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</si>
  <si>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</si>
  <si>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</si>
  <si>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</si>
  <si>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</si>
  <si>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</si>
  <si>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</si>
  <si>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</si>
  <si>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</si>
  <si>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</si>
  <si>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</si>
  <si>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</si>
  <si>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</si>
  <si>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</si>
  <si>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</si>
  <si>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</si>
  <si>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</si>
  <si>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</si>
  <si>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</si>
  <si>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</si>
  <si>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</si>
  <si>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</si>
  <si>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</si>
  <si>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</si>
  <si>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</si>
  <si>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</si>
  <si>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</si>
  <si>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</si>
  <si>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</si>
  <si>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</si>
  <si>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</si>
  <si>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</si>
  <si>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</si>
  <si>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</si>
  <si>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</si>
  <si>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</si>
  <si>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</si>
  <si>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</si>
  <si>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</si>
  <si>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</si>
  <si>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</si>
  <si>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</si>
  <si>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</si>
  <si>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</si>
  <si>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</si>
  <si>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</si>
  <si>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</si>
  <si>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</si>
  <si>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</si>
  <si>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</si>
  <si>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</si>
  <si>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</si>
  <si>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</si>
  <si>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</si>
  <si>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</si>
  <si>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</si>
  <si>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</si>
  <si>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</si>
  <si>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</si>
  <si>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</si>
  <si>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</si>
  <si>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</si>
  <si>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</si>
  <si>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</si>
  <si>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</si>
  <si>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</si>
  <si>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</si>
  <si>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</si>
  <si>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</si>
  <si>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</si>
  <si>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</si>
  <si>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</si>
  <si>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</si>
  <si>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</si>
  <si>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</si>
  <si>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</si>
  <si>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</si>
  <si>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</si>
  <si>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</si>
  <si>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</si>
  <si>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</si>
  <si>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</si>
  <si>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</si>
  <si>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</si>
  <si>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</si>
  <si>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</si>
  <si>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</si>
  <si>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</si>
  <si>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</si>
  <si>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</si>
  <si>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</si>
  <si>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</si>
  <si>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</si>
  <si>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</si>
  <si>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</si>
  <si>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</si>
  <si>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</si>
  <si>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</si>
  <si>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</si>
  <si>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</si>
  <si>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</si>
  <si>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</si>
  <si>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</si>
  <si>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</si>
  <si>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</si>
  <si>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</si>
  <si>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</si>
  <si>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</si>
  <si>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</si>
  <si>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</si>
  <si>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</si>
  <si>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</si>
  <si>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</si>
  <si>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</si>
  <si>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</si>
  <si>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</si>
  <si>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</si>
  <si>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</si>
  <si>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</si>
  <si>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</si>
  <si>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</si>
  <si>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</si>
  <si>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</si>
  <si>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</si>
  <si>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</si>
  <si>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</si>
  <si>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</si>
  <si>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</si>
  <si>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</si>
  <si>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</si>
  <si>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</si>
  <si>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</si>
  <si>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</si>
  <si>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</si>
  <si>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</si>
  <si>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</si>
  <si>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</si>
  <si>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</si>
  <si>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</si>
  <si>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</si>
  <si>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</si>
  <si>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</si>
  <si>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</si>
  <si>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</si>
  <si>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</si>
  <si>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</si>
  <si>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</si>
  <si>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</si>
  <si>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</si>
  <si>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</si>
  <si>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</si>
  <si>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</si>
  <si>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</si>
  <si>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</si>
  <si>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</si>
  <si>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</si>
  <si>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</si>
  <si>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</si>
  <si>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</si>
  <si>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</si>
  <si>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</si>
  <si>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</si>
  <si>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</si>
  <si>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</si>
  <si>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</si>
  <si>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</si>
  <si>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</si>
  <si>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</si>
  <si>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</si>
  <si>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</si>
  <si>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</si>
  <si>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</si>
  <si>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</si>
  <si>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</si>
  <si>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</si>
  <si>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</si>
  <si>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</si>
  <si>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</si>
  <si>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</si>
  <si>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</si>
  <si>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</si>
  <si>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</si>
  <si>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</si>
  <si>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</si>
  <si>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</si>
  <si>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</si>
  <si>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</si>
  <si>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</si>
  <si>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</si>
  <si>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</si>
  <si>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</si>
  <si>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</si>
  <si>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</si>
  <si>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</si>
  <si>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</si>
  <si>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</si>
  <si>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</si>
  <si>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</si>
  <si>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</si>
  <si>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</si>
  <si>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</si>
  <si>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</si>
  <si>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</si>
  <si>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</si>
  <si>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</si>
  <si>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</si>
  <si>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</si>
  <si>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</si>
  <si>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</si>
  <si>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</si>
  <si>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</si>
  <si>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</si>
  <si>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</si>
  <si>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</si>
  <si>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</si>
  <si>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</si>
  <si>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</si>
  <si>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</si>
  <si>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</si>
  <si>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</si>
  <si>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</si>
  <si>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</si>
  <si>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</si>
  <si>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</si>
  <si>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</si>
  <si>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</si>
  <si>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</si>
  <si>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</si>
  <si>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</si>
  <si>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</si>
  <si>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</si>
  <si>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</si>
  <si>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</si>
  <si>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</si>
  <si>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</si>
  <si>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</si>
  <si>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</si>
  <si>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</si>
  <si>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</si>
  <si>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</si>
  <si>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</si>
  <si>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</si>
  <si>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</si>
  <si>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</si>
  <si>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</si>
  <si>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</si>
  <si>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</si>
  <si>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</si>
  <si>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</si>
  <si>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</si>
  <si>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</si>
  <si>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</si>
  <si>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</si>
  <si>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</si>
  <si>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</si>
  <si>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</si>
  <si>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</si>
  <si>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</si>
  <si>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</si>
  <si>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</si>
  <si>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</si>
  <si>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</si>
  <si>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</si>
  <si>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</si>
  <si>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</si>
  <si>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</si>
  <si>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</si>
  <si>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</si>
  <si>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</si>
  <si>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</si>
  <si>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</si>
  <si>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</si>
  <si>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</si>
  <si>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</si>
  <si>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</si>
  <si>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</si>
  <si>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</si>
  <si>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</si>
  <si>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</si>
  <si>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</si>
  <si>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</si>
  <si>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</si>
  <si>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</si>
  <si>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</si>
  <si>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</si>
  <si>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</si>
  <si>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</si>
  <si>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</si>
  <si>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</si>
  <si>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</si>
  <si>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</si>
  <si>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</si>
  <si>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</si>
  <si>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</si>
  <si>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</si>
  <si>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</si>
  <si>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</si>
  <si>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</si>
  <si>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</si>
  <si>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</si>
  <si>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</si>
  <si>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</si>
  <si>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</si>
  <si>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</si>
  <si>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</si>
  <si>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</si>
  <si>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</si>
  <si>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</si>
  <si>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</si>
  <si>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</si>
  <si>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</si>
  <si>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</si>
  <si>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</si>
  <si>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</si>
  <si>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</si>
  <si>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</si>
  <si>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</si>
  <si>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</si>
  <si>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</si>
  <si>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</si>
  <si>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</si>
  <si>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</si>
  <si>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</si>
  <si>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</si>
  <si>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</si>
  <si>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</si>
  <si>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</si>
  <si>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</si>
  <si>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</si>
  <si>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</si>
  <si>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</si>
  <si>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</si>
  <si>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</si>
  <si>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</si>
  <si>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</si>
  <si>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</si>
  <si>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</si>
  <si>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</si>
  <si>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</si>
  <si>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</si>
  <si>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</si>
  <si>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</si>
  <si>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</si>
  <si>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</si>
  <si>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</si>
  <si>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</si>
  <si>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</si>
  <si>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</si>
  <si>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</si>
  <si>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</si>
  <si>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</si>
  <si>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</si>
  <si>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</si>
  <si>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</si>
  <si>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</si>
  <si>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</si>
  <si>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</si>
  <si>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</si>
  <si>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</si>
  <si>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</si>
  <si>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</si>
  <si>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</si>
  <si>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</si>
  <si>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</si>
  <si>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</si>
  <si>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</si>
  <si>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</si>
  <si>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</si>
  <si>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</si>
  <si>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</si>
  <si>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</si>
  <si>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</si>
  <si>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</si>
  <si>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</si>
  <si>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</si>
  <si>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</si>
  <si>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</si>
  <si>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</si>
  <si>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</si>
  <si>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</si>
  <si>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</si>
  <si>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</si>
  <si>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</si>
  <si>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</si>
  <si>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</si>
  <si>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</si>
  <si>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</si>
  <si>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</si>
  <si>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</si>
  <si>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</si>
  <si>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</si>
  <si>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</si>
  <si>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</si>
  <si>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</si>
  <si>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</si>
  <si>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</si>
  <si>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</si>
  <si>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</si>
  <si>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</si>
  <si>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</si>
  <si>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</si>
  <si>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</si>
  <si>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</si>
  <si>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</si>
  <si>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</si>
  <si>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</si>
  <si>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</si>
  <si>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</si>
  <si>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</si>
  <si>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</si>
  <si>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</si>
  <si>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</si>
  <si>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</si>
  <si>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</si>
  <si>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</si>
  <si>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</si>
  <si>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</si>
  <si>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</si>
  <si>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</si>
  <si>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</si>
  <si>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</si>
  <si>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</si>
  <si>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</si>
  <si>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</si>
  <si>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</si>
  <si>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</si>
  <si>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</si>
  <si>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</si>
  <si>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</si>
  <si>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</si>
  <si>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</si>
  <si>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</si>
  <si>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</si>
  <si>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</si>
  <si>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</si>
  <si>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</si>
  <si>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</si>
  <si>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</si>
  <si>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</si>
  <si>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</si>
  <si>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</si>
  <si>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</si>
  <si>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</si>
  <si>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</si>
  <si>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</si>
  <si>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</si>
  <si>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</si>
  <si>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</si>
  <si>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</si>
  <si>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</si>
  <si>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</si>
  <si>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</si>
  <si>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</si>
  <si>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</si>
  <si>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</si>
  <si>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</si>
  <si>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</si>
  <si>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</si>
  <si>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</si>
  <si>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</si>
  <si>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</si>
  <si>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</si>
  <si>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</si>
  <si>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</si>
  <si>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</si>
  <si>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</si>
  <si>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</si>
  <si>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</si>
  <si>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</si>
  <si>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</si>
  <si>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</si>
  <si>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</si>
  <si>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</si>
  <si>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</si>
  <si>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</si>
  <si>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</si>
  <si>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</si>
  <si>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</si>
  <si>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</si>
  <si>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</si>
  <si>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</si>
  <si>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</si>
  <si>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</si>
  <si>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</si>
  <si>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</si>
  <si>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</si>
  <si>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</si>
  <si>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</si>
  <si>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</si>
  <si>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</si>
  <si>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</si>
  <si>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</si>
  <si>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</si>
  <si>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</si>
  <si>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</si>
  <si>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</si>
  <si>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</si>
  <si>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</si>
  <si>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</si>
  <si>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</si>
  <si>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</si>
  <si>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</si>
  <si>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</si>
  <si>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</si>
  <si>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</si>
  <si>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</si>
  <si>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</si>
  <si>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</si>
  <si>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</si>
  <si>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</si>
  <si>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</si>
  <si>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</si>
  <si>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</si>
  <si>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</si>
  <si>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</si>
  <si>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</si>
  <si>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</si>
  <si>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</si>
  <si>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</si>
  <si>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</si>
  <si>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</si>
  <si>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</si>
  <si>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</si>
  <si>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</si>
  <si>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</si>
  <si>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</si>
  <si>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</si>
  <si>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</si>
  <si>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</si>
  <si>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</si>
  <si>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</si>
  <si>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</si>
  <si>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</si>
  <si>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</si>
  <si>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</si>
  <si>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</si>
  <si>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</si>
  <si>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</si>
  <si>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</si>
  <si>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</si>
  <si>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</si>
  <si>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</si>
  <si>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</si>
  <si>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</si>
  <si>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</si>
  <si>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</si>
  <si>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</si>
  <si>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</si>
  <si>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</si>
  <si>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</si>
  <si>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</si>
  <si>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</si>
  <si>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</si>
  <si>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</si>
  <si>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</si>
  <si>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</si>
  <si>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</si>
  <si>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</si>
  <si>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</si>
  <si>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</si>
  <si>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</si>
  <si>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</si>
  <si>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</si>
  <si>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</si>
  <si>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</si>
  <si>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</si>
  <si>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</si>
  <si>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</si>
  <si>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</si>
  <si>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</si>
  <si>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</si>
  <si>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</si>
  <si>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</si>
  <si>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</si>
  <si>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</si>
  <si>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</si>
  <si>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</si>
  <si>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</si>
  <si>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</si>
  <si>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</si>
  <si>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</si>
  <si>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</si>
  <si>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</si>
  <si>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</si>
  <si>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</si>
  <si>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</si>
  <si>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</si>
  <si>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</si>
  <si>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</si>
  <si>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</si>
  <si>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</si>
  <si>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</si>
  <si>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</si>
  <si>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</si>
  <si>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</si>
  <si>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</si>
  <si>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</si>
  <si>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</si>
  <si>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</si>
  <si>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</si>
  <si>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</si>
  <si>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</si>
  <si>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</si>
  <si>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</si>
  <si>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</si>
  <si>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</si>
  <si>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</si>
  <si>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</si>
  <si>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</si>
  <si>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</si>
  <si>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</si>
  <si>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</si>
  <si>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</si>
  <si>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</si>
  <si>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</si>
  <si>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</si>
  <si>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</si>
  <si>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</si>
  <si>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</si>
  <si>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</si>
  <si>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</si>
  <si>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</si>
  <si>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</si>
  <si>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</si>
  <si>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</si>
  <si>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</si>
  <si>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</si>
  <si>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</si>
  <si>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</si>
  <si>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</si>
  <si>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</si>
  <si>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</si>
  <si>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</si>
  <si>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</si>
  <si>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</si>
  <si>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</si>
  <si>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</si>
  <si>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</si>
  <si>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</si>
  <si>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</si>
  <si>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</si>
  <si>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</si>
  <si>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</si>
  <si>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</si>
  <si>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</si>
  <si>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</si>
  <si>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</si>
  <si>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</si>
  <si>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</si>
  <si>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</si>
  <si>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</si>
  <si>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</si>
  <si>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</si>
  <si>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</si>
  <si>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</si>
  <si>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</si>
  <si>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</si>
  <si>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</si>
  <si>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</si>
  <si>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</si>
  <si>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</si>
  <si>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</si>
  <si>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</si>
  <si>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</si>
  <si>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</si>
  <si>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</si>
  <si>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</si>
  <si>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</si>
  <si>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</si>
  <si>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</si>
  <si>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</si>
  <si>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</si>
  <si>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</si>
  <si>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</si>
  <si>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</si>
  <si>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</si>
  <si>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</si>
  <si>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</si>
  <si>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</si>
  <si>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</si>
  <si>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</si>
  <si>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</si>
  <si>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</si>
  <si>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</si>
  <si>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</si>
  <si>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</si>
  <si>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</si>
  <si>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</si>
  <si>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</si>
  <si>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</si>
  <si>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</si>
  <si>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</si>
  <si>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</si>
  <si>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</si>
  <si>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</si>
  <si>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</si>
  <si>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</si>
  <si>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</si>
  <si>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</si>
  <si>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</si>
  <si>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</si>
  <si>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</si>
  <si>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</si>
  <si>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</si>
  <si>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</si>
  <si>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</si>
  <si>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</si>
  <si>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</si>
  <si>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</si>
  <si>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</si>
  <si>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</si>
  <si>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</si>
  <si>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</si>
  <si>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</si>
  <si>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</si>
  <si>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</si>
  <si>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</si>
  <si>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</si>
  <si>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</si>
  <si>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</si>
  <si>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</si>
  <si>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</si>
  <si>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</si>
  <si>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</si>
  <si>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</si>
  <si>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</si>
  <si>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</si>
  <si>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</si>
  <si>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</si>
  <si>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</si>
  <si>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</si>
  <si>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</si>
  <si>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</si>
  <si>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</si>
  <si>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</si>
  <si>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</si>
  <si>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</si>
  <si>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</si>
  <si>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</si>
  <si>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</si>
  <si>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</si>
  <si>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</si>
  <si>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</si>
  <si>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</si>
  <si>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</si>
  <si>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</si>
  <si>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</si>
  <si>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</si>
  <si>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</si>
  <si>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</si>
  <si>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</si>
  <si>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</si>
  <si>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</si>
  <si>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</si>
  <si>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</si>
  <si>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</si>
  <si>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</si>
  <si>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</si>
  <si>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</si>
  <si>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</si>
  <si>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</si>
  <si>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</si>
  <si>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</si>
  <si>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</si>
  <si>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</si>
  <si>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</si>
  <si>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</si>
  <si>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</si>
  <si>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</si>
  <si>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</si>
  <si>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</si>
  <si>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</si>
  <si>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</si>
  <si>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</si>
  <si>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</si>
  <si>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</si>
  <si>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</si>
  <si>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</si>
  <si>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</si>
  <si>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</si>
  <si>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</si>
  <si>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</si>
  <si>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</si>
  <si>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</si>
  <si>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</si>
  <si>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</si>
  <si>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</si>
  <si>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</si>
  <si>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</si>
  <si>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</si>
  <si>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</si>
  <si>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</si>
  <si>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</si>
  <si>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</si>
  <si>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</si>
  <si>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</si>
  <si>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</si>
  <si>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</si>
  <si>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</si>
  <si>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</si>
  <si>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</si>
  <si>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</si>
  <si>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</si>
  <si>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</si>
  <si>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</si>
  <si>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</si>
  <si>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</si>
  <si>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</si>
  <si>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</si>
  <si>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</si>
  <si>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</si>
  <si>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</si>
  <si>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</si>
  <si>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</si>
  <si>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</si>
  <si>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</si>
  <si>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</si>
  <si>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</si>
  <si>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</si>
  <si>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</si>
  <si>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</si>
  <si>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</si>
  <si>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</si>
  <si>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</si>
  <si>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</si>
  <si>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</si>
  <si>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</si>
  <si>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</si>
  <si>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</si>
  <si>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</si>
  <si>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</si>
  <si>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</si>
  <si>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</si>
  <si>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</si>
  <si>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</si>
  <si>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</si>
  <si>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</si>
  <si>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</si>
  <si>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</si>
  <si>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</si>
  <si>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</si>
  <si>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</si>
  <si>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</si>
  <si>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</si>
  <si>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</si>
  <si>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</si>
  <si>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</si>
  <si>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</si>
  <si>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</si>
  <si>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</si>
  <si>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</si>
  <si>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</si>
  <si>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</si>
  <si>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</si>
  <si>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</si>
  <si>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</si>
  <si>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</si>
  <si>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</si>
  <si>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</si>
  <si>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</si>
  <si>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</si>
  <si>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</si>
  <si>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</si>
  <si>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</si>
  <si>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</si>
  <si>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</si>
  <si>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</si>
  <si>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</si>
  <si>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</si>
  <si>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</si>
  <si>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</si>
  <si>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</si>
  <si>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</si>
  <si>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</si>
  <si>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</si>
  <si>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</si>
  <si>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</si>
  <si>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</si>
  <si>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</si>
  <si>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</si>
  <si>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</si>
  <si>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</si>
  <si>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</si>
  <si>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</si>
  <si>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</si>
  <si>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</si>
  <si>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</si>
  <si>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</si>
  <si>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</si>
  <si>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</si>
  <si>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</si>
  <si>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</si>
  <si>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</si>
  <si>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</si>
  <si>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</si>
  <si>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</si>
  <si>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</si>
  <si>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</si>
  <si>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</si>
  <si>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</si>
  <si>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</si>
  <si>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</si>
  <si>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</si>
  <si>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</si>
  <si>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</si>
  <si>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</si>
  <si>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</si>
  <si>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</si>
  <si>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</si>
  <si>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</si>
  <si>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</si>
  <si>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</si>
  <si>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</si>
  <si>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</si>
  <si>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</si>
  <si>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</si>
  <si>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</si>
  <si>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</si>
  <si>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</si>
  <si>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</si>
  <si>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</si>
  <si>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</si>
  <si>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</si>
  <si>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</si>
  <si>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</si>
  <si>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</si>
  <si>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</si>
  <si>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</si>
  <si>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</si>
  <si>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</si>
  <si>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</si>
  <si>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</si>
  <si>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</si>
  <si>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</si>
  <si>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</si>
  <si>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</si>
  <si>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</si>
  <si>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</si>
  <si>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</si>
  <si>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</si>
  <si>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</si>
  <si>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</si>
  <si>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</si>
  <si>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</si>
  <si>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</si>
  <si>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</si>
  <si>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</si>
  <si>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</si>
  <si>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</si>
  <si>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</si>
  <si>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</si>
  <si>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</si>
  <si>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</si>
  <si>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</si>
  <si>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</si>
  <si>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</si>
  <si>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</si>
  <si>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</si>
  <si>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</si>
  <si>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</si>
  <si>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</si>
  <si>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</si>
  <si>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</si>
  <si>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</si>
  <si>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</si>
  <si>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</si>
  <si>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</si>
  <si>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</si>
  <si>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</si>
  <si>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</si>
  <si>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</si>
  <si>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</si>
  <si>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</si>
  <si>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</si>
  <si>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</si>
  <si>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</si>
  <si>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</si>
  <si>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</si>
  <si>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</si>
  <si>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</si>
  <si>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</si>
  <si>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</si>
  <si>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</si>
  <si>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</si>
  <si>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</si>
  <si>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</si>
  <si>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</si>
  <si>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</si>
  <si>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</si>
  <si>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</si>
  <si>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</si>
  <si>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</si>
  <si>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</si>
  <si>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</si>
  <si>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</si>
  <si>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</si>
  <si>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</si>
  <si>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</si>
  <si>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</si>
  <si>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</si>
  <si>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</si>
  <si>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</si>
  <si>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</si>
  <si>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</si>
  <si>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</si>
  <si>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</si>
  <si>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</si>
  <si>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</si>
  <si>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</si>
  <si>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</si>
  <si>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</si>
  <si>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</si>
  <si>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</si>
  <si>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</si>
  <si>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</si>
  <si>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</si>
  <si>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</si>
  <si>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</si>
  <si>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</si>
  <si>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</si>
  <si>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</si>
  <si>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</si>
  <si>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</si>
  <si>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</si>
  <si>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</si>
  <si>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</si>
  <si>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</si>
  <si>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</si>
  <si>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</si>
  <si>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</si>
  <si>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</si>
  <si>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</si>
  <si>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</si>
  <si>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</si>
  <si>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</si>
  <si>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</si>
  <si>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</si>
  <si>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</si>
  <si>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</si>
  <si>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</si>
  <si>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</si>
  <si>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</si>
  <si>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</si>
  <si>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</si>
  <si>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</si>
  <si>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</si>
  <si>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</si>
  <si>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</si>
  <si>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</si>
  <si>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</si>
  <si>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</si>
  <si>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</si>
  <si>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</si>
  <si>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</si>
  <si>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</si>
  <si>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</si>
  <si>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</si>
  <si>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</si>
  <si>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</si>
  <si>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</si>
  <si>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</si>
  <si>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</si>
  <si>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</si>
  <si>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</si>
  <si>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</si>
  <si>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</si>
  <si>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</si>
  <si>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</si>
  <si>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</si>
  <si>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</si>
  <si>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</si>
  <si>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</si>
  <si>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</si>
  <si>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</si>
  <si>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</si>
  <si>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</si>
  <si>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</si>
  <si>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</si>
  <si>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</si>
  <si>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</si>
  <si>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</si>
  <si>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</si>
  <si>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</si>
  <si>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</si>
  <si>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</si>
  <si>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</si>
  <si>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</si>
  <si>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</si>
  <si>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</si>
  <si>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</si>
  <si>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</si>
  <si>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</si>
  <si>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</si>
  <si>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</si>
  <si>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</si>
  <si>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</si>
  <si>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</si>
  <si>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</si>
  <si>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</si>
  <si>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</si>
  <si>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</si>
  <si>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</si>
  <si>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</si>
  <si>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</si>
  <si>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</si>
  <si>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</si>
  <si>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</si>
  <si>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</si>
  <si>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</si>
  <si>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</si>
  <si>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</si>
  <si>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</si>
  <si>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</si>
  <si>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</si>
  <si>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</si>
  <si>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</si>
  <si>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</si>
  <si>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</si>
  <si>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</si>
  <si>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</si>
  <si>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</si>
  <si>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</si>
  <si>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</si>
  <si>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</si>
  <si>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</si>
  <si>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</si>
  <si>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</si>
  <si>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</si>
  <si>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</si>
  <si>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</si>
  <si>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</si>
  <si>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</si>
  <si>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</si>
  <si>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</si>
  <si>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</si>
  <si>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</si>
  <si>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</si>
  <si>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</si>
  <si>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</si>
  <si>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</si>
  <si>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</si>
  <si>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</si>
  <si>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</si>
  <si>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</si>
  <si>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</si>
  <si>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</si>
  <si>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</si>
  <si>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</si>
  <si>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</si>
  <si>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</si>
  <si>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</si>
  <si>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</si>
  <si>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</si>
  <si>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</si>
  <si>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</si>
  <si>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</si>
  <si>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</si>
  <si>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</si>
  <si>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</si>
  <si>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</si>
  <si>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</si>
  <si>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</si>
  <si>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</si>
  <si>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</si>
  <si>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</si>
  <si>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</si>
  <si>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</si>
  <si>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</si>
  <si>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</si>
  <si>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</si>
  <si>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</si>
  <si>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</si>
  <si>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</si>
  <si>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</si>
  <si>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</si>
  <si>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</si>
  <si>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</si>
  <si>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</si>
  <si>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</si>
  <si>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</si>
  <si>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</si>
  <si>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</si>
  <si>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</si>
  <si>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</si>
  <si>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</si>
  <si>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</si>
  <si>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</si>
  <si>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</si>
  <si>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</si>
  <si>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</si>
  <si>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</si>
  <si>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</si>
  <si>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</si>
  <si>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</si>
  <si>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</si>
  <si>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</si>
  <si>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</si>
  <si>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</si>
  <si>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</si>
  <si>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</si>
  <si>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</si>
  <si>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</si>
  <si>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</si>
  <si>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</si>
  <si>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</si>
  <si>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</si>
  <si>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</si>
  <si>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</si>
  <si>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</si>
  <si>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</si>
  <si>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</si>
  <si>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</si>
  <si>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</si>
  <si>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</si>
  <si>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</si>
  <si>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</si>
  <si>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</si>
  <si>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</si>
  <si>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</si>
  <si>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</si>
  <si>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</si>
  <si>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</si>
  <si>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</si>
  <si>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</si>
  <si>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</si>
  <si>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</si>
  <si>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</si>
  <si>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</si>
  <si>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</si>
  <si>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</si>
  <si>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</si>
  <si>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</si>
  <si>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</si>
  <si>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</si>
  <si>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</si>
  <si>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</si>
  <si>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</si>
  <si>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</si>
  <si>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</si>
  <si>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</si>
  <si>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</si>
  <si>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</si>
  <si>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</si>
  <si>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</si>
  <si>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</si>
  <si>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</si>
  <si>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</si>
  <si>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</si>
  <si>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</si>
  <si>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</si>
  <si>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</si>
  <si>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</si>
  <si>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</si>
  <si>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</si>
  <si>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</si>
  <si>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</si>
  <si>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</si>
  <si>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</si>
  <si>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</si>
  <si>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</si>
  <si>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</si>
  <si>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</si>
  <si>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</si>
  <si>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</si>
  <si>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</si>
  <si>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</si>
  <si>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</si>
  <si>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</si>
  <si>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</si>
  <si>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</si>
  <si>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</si>
  <si>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</si>
  <si>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</si>
  <si>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</si>
  <si>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</si>
  <si>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</si>
  <si>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</si>
  <si>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</si>
  <si>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</si>
  <si>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</si>
  <si>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</si>
  <si>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</si>
  <si>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</si>
  <si>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</si>
  <si>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</si>
  <si>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</si>
  <si>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</si>
  <si>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</si>
  <si>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</si>
  <si>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</si>
  <si>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</si>
  <si>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</si>
  <si>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</si>
  <si>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</si>
  <si>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</si>
  <si>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</si>
  <si>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</si>
  <si>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</si>
  <si>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</si>
  <si>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</si>
  <si>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</si>
  <si>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</si>
  <si>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</si>
  <si>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</si>
  <si>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</si>
  <si>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</si>
  <si>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</si>
  <si>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</si>
  <si>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</si>
  <si>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</si>
  <si>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</si>
  <si>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</si>
  <si>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</si>
  <si>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</si>
  <si>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</si>
  <si>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</si>
  <si>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</si>
  <si>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</si>
  <si>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</si>
  <si>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</si>
  <si>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</si>
  <si>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</si>
  <si>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</si>
  <si>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</si>
  <si>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</si>
  <si>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</si>
  <si>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</si>
  <si>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</si>
  <si>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</si>
  <si>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</si>
  <si>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</si>
  <si>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</si>
  <si>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</si>
  <si>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</si>
  <si>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</si>
  <si>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</si>
  <si>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</si>
  <si>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</si>
  <si>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</si>
  <si>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</si>
  <si>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</si>
  <si>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</si>
  <si>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</si>
  <si>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</si>
  <si>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</si>
  <si>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</si>
  <si>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</si>
  <si>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</si>
  <si>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</si>
  <si>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</si>
  <si>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</si>
  <si>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</si>
  <si>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</si>
  <si>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</si>
  <si>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</si>
  <si>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</si>
  <si>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</si>
  <si>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</si>
  <si>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</si>
  <si>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</si>
  <si>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</si>
  <si>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</si>
  <si>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</si>
  <si>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</si>
  <si>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</si>
  <si>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</si>
  <si>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</si>
  <si>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</si>
  <si>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</si>
  <si>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</si>
  <si>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</si>
  <si>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</si>
  <si>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</si>
  <si>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</si>
  <si>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</si>
  <si>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</si>
  <si>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</si>
  <si>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</si>
  <si>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</si>
  <si>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</si>
  <si>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</si>
  <si>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</si>
  <si>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</si>
  <si>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</si>
  <si>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</si>
  <si>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</si>
  <si>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</si>
  <si>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</si>
  <si>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</si>
  <si>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</si>
  <si>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</si>
  <si>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</si>
  <si>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</si>
  <si>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</si>
  <si>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</si>
  <si>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</si>
  <si>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</si>
  <si>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</si>
  <si>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</si>
  <si>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</si>
  <si>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</si>
  <si>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</si>
  <si>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</si>
  <si>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</si>
  <si>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</si>
  <si>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</si>
  <si>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</si>
  <si>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</si>
  <si>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</si>
  <si>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</si>
  <si>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</si>
  <si>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</si>
  <si>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</si>
  <si>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</si>
  <si>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</si>
  <si>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</si>
  <si>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</si>
  <si>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</si>
  <si>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</si>
  <si>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</si>
  <si>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</si>
  <si>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</si>
  <si>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</si>
  <si>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</si>
  <si>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</si>
  <si>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</si>
  <si>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</si>
  <si>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</si>
  <si>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</si>
  <si>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</si>
  <si>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</si>
  <si>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</si>
  <si>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</si>
  <si>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</si>
  <si>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</si>
  <si>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</si>
  <si>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</si>
  <si>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</si>
  <si>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</si>
  <si>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</si>
  <si>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</si>
  <si>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</si>
  <si>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</si>
  <si>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</si>
  <si>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</si>
  <si>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</si>
  <si>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</si>
  <si>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</si>
  <si>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</si>
  <si>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</si>
  <si>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</si>
  <si>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</si>
  <si>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</si>
  <si>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</si>
  <si>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</si>
  <si>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</si>
  <si>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</si>
  <si>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</si>
  <si>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</si>
  <si>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</si>
  <si>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</si>
  <si>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</si>
  <si>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</si>
  <si>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</si>
  <si>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</si>
  <si>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</si>
  <si>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</si>
  <si>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</si>
  <si>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</si>
  <si>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</si>
  <si>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</si>
  <si>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</si>
  <si>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</si>
  <si>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</si>
  <si>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</si>
  <si>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</si>
  <si>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</si>
  <si>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</si>
  <si>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</si>
  <si>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</si>
  <si>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</si>
  <si>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</si>
  <si>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</si>
  <si>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</si>
  <si>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</si>
  <si>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</si>
  <si>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</si>
  <si>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</si>
  <si>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</si>
  <si>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</si>
  <si>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</si>
  <si>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</si>
  <si>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</si>
  <si>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</si>
  <si>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</si>
  <si>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</si>
  <si>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</si>
  <si>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</si>
  <si>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</si>
  <si>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</si>
  <si>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</si>
  <si>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</si>
  <si>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</si>
  <si>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</si>
  <si>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</si>
  <si>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</si>
  <si>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</si>
  <si>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</si>
  <si>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</si>
  <si>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</si>
  <si>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</si>
  <si>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</si>
  <si>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</si>
  <si>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</si>
  <si>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</si>
  <si>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</si>
  <si>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</si>
  <si>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</si>
  <si>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</si>
  <si>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</si>
  <si>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</si>
  <si>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</si>
  <si>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</si>
  <si>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</si>
  <si>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</si>
  <si>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</si>
  <si>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</si>
  <si>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</si>
  <si>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</si>
  <si>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</si>
  <si>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</si>
  <si>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</si>
  <si>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</si>
  <si>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</si>
  <si>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</si>
  <si>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</si>
  <si>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</si>
  <si>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</si>
  <si>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</si>
  <si>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</si>
  <si>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</si>
  <si>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</si>
  <si>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</si>
  <si>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</si>
  <si>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</si>
  <si>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</si>
  <si>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</si>
  <si>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</si>
  <si>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</si>
  <si>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</si>
  <si>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</si>
  <si>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</si>
  <si>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</si>
  <si>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</si>
  <si>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</si>
  <si>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</si>
  <si>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</si>
  <si>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</si>
  <si>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</si>
  <si>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</si>
  <si>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</si>
  <si>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</si>
  <si>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</si>
  <si>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</si>
  <si>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</si>
  <si>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</si>
  <si>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</si>
  <si>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</si>
  <si>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</si>
  <si>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</si>
  <si>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</si>
  <si>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</si>
  <si>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</si>
  <si>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</si>
  <si>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</si>
  <si>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</si>
  <si>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</si>
  <si>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</si>
  <si>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</si>
  <si>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</si>
  <si>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</si>
  <si>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</si>
  <si>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</si>
  <si>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</si>
  <si>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</si>
  <si>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</si>
  <si>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</si>
  <si>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</si>
  <si>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</si>
  <si>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</si>
  <si>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</si>
  <si>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</si>
  <si>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</si>
  <si>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</si>
  <si>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</si>
  <si>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</si>
  <si>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</si>
  <si>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</si>
  <si>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</si>
  <si>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</si>
  <si>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</si>
  <si>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</si>
  <si>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</si>
  <si>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</si>
  <si>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</si>
  <si>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</si>
  <si>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</si>
  <si>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</si>
  <si>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</si>
  <si>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</si>
  <si>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</si>
  <si>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</si>
  <si>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</si>
  <si>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</si>
  <si>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</si>
  <si>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</si>
  <si>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</si>
  <si>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</si>
  <si>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</si>
  <si>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</si>
  <si>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</si>
  <si>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</si>
  <si>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</si>
  <si>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</si>
  <si>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</si>
  <si>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</si>
  <si>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</si>
  <si>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</si>
  <si>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</si>
  <si>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</si>
  <si>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</si>
  <si>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</si>
  <si>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</si>
  <si>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</si>
  <si>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</si>
  <si>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</si>
  <si>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</si>
  <si>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</si>
  <si>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</si>
  <si>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</si>
  <si>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</si>
  <si>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</si>
  <si>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</si>
  <si>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</si>
  <si>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</si>
  <si>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</si>
  <si>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</si>
  <si>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</si>
  <si>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</si>
  <si>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</si>
  <si>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</si>
  <si>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</si>
  <si>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</si>
  <si>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</si>
  <si>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</si>
  <si>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</si>
  <si>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</si>
  <si>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</si>
  <si>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</si>
  <si>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</si>
  <si>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</si>
  <si>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</si>
  <si>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</si>
  <si>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</si>
  <si>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</si>
  <si>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</si>
  <si>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</si>
  <si>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</si>
  <si>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</si>
  <si>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</si>
  <si>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</si>
  <si>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</si>
  <si>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</si>
  <si>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</si>
  <si>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</si>
  <si>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</si>
  <si>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</si>
  <si>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</si>
  <si>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</si>
  <si>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</si>
  <si>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</si>
  <si>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</si>
  <si>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</si>
  <si>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</si>
  <si>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</si>
  <si>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</si>
  <si>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</si>
  <si>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</si>
  <si>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</si>
  <si>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</si>
  <si>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</si>
  <si>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</si>
  <si>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</si>
  <si>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</si>
  <si>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</si>
  <si>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</si>
  <si>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</si>
  <si>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</si>
  <si>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</si>
  <si>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</si>
  <si>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</si>
  <si>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</si>
  <si>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</si>
  <si>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</si>
  <si>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</si>
  <si>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</si>
  <si>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</si>
  <si>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</si>
  <si>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</si>
  <si>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</si>
  <si>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</si>
  <si>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</si>
  <si>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</si>
  <si>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</si>
  <si>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</si>
  <si>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</si>
  <si>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</si>
  <si>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</si>
  <si>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</si>
  <si>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</si>
  <si>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</si>
  <si>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</si>
  <si>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</si>
  <si>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</si>
  <si>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</si>
  <si>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</si>
  <si>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</si>
  <si>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</si>
  <si>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</si>
  <si>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</si>
  <si>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</si>
  <si>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</si>
  <si>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</si>
  <si>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</si>
  <si>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</si>
  <si>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</si>
  <si>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</si>
  <si>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</si>
  <si>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</si>
  <si>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</si>
  <si>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</si>
  <si>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</si>
  <si>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</si>
  <si>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</si>
  <si>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</si>
  <si>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</si>
  <si>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</si>
  <si>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</si>
  <si>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</si>
  <si>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</si>
  <si>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</si>
  <si>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</si>
  <si>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</si>
  <si>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</si>
  <si>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</si>
  <si>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</si>
  <si>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</si>
  <si>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</si>
  <si>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</si>
  <si>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</si>
  <si>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</si>
  <si>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</si>
  <si>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</si>
  <si>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</si>
  <si>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</si>
  <si>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</si>
  <si>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</si>
  <si>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</si>
  <si>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</si>
  <si>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</si>
  <si>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</si>
  <si>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</si>
  <si>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</si>
  <si>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</si>
  <si>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</si>
  <si>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</si>
  <si>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</si>
  <si>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</si>
  <si>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</si>
  <si>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</si>
  <si>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</si>
  <si>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</si>
  <si>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</si>
  <si>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</si>
  <si>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</si>
  <si>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</si>
  <si>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</si>
  <si>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</si>
  <si>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</si>
  <si>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</si>
  <si>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</si>
  <si>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</si>
  <si>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</si>
  <si>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</si>
  <si>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</si>
  <si>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</si>
  <si>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</si>
  <si>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</si>
  <si>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</si>
  <si>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</si>
  <si>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</si>
  <si>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</si>
  <si>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</si>
  <si>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</si>
  <si>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</si>
  <si>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</si>
  <si>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</si>
  <si>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</si>
  <si>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</si>
  <si>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</si>
  <si>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</si>
  <si>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</si>
  <si>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</si>
  <si>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</si>
  <si>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</si>
  <si>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</si>
  <si>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</si>
  <si>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</si>
  <si>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</si>
  <si>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</si>
  <si>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</si>
  <si>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</si>
  <si>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</si>
  <si>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</si>
  <si>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</si>
  <si>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</si>
  <si>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</si>
  <si>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</si>
  <si>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</si>
  <si>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</si>
  <si>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</si>
  <si>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</si>
  <si>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</si>
  <si>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</si>
  <si>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</si>
  <si>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</si>
  <si>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</si>
  <si>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</si>
  <si>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</si>
  <si>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</si>
  <si>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</si>
  <si>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</si>
  <si>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</si>
  <si>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</si>
  <si>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</si>
  <si>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</si>
  <si>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</si>
  <si>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</si>
  <si>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</si>
  <si>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</si>
  <si>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</si>
  <si>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</si>
  <si>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</si>
  <si>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</si>
  <si>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</si>
  <si>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</si>
  <si>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</si>
  <si>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</si>
  <si>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</si>
  <si>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</si>
  <si>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</si>
  <si>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</si>
  <si>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</si>
  <si>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</si>
  <si>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</si>
  <si>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</si>
  <si>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</si>
  <si>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</si>
  <si>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</si>
  <si>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</si>
  <si>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</si>
  <si>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</si>
  <si>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</si>
  <si>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</si>
  <si>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</si>
  <si>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</si>
  <si>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</si>
  <si>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</si>
  <si>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</si>
  <si>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</si>
  <si>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</si>
  <si>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</si>
  <si>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</si>
  <si>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</si>
  <si>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</si>
  <si>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</si>
  <si>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</si>
  <si>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</si>
  <si>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</si>
  <si>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</si>
  <si>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</si>
  <si>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</si>
  <si>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</si>
  <si>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</si>
  <si>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</si>
  <si>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</si>
  <si>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</si>
  <si>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</si>
  <si>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</si>
  <si>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</si>
  <si>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</si>
  <si>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</si>
  <si>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</si>
  <si>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</si>
  <si>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</si>
  <si>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</si>
  <si>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</si>
  <si>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</si>
  <si>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</si>
  <si>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</si>
  <si>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</si>
  <si>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</si>
  <si>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</si>
  <si>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</si>
  <si>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</si>
  <si>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</si>
  <si>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</si>
  <si>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</si>
  <si>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</si>
  <si>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</si>
  <si>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</si>
  <si>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</si>
  <si>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</si>
  <si>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</si>
  <si>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</si>
  <si>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</si>
  <si>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</si>
  <si>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</si>
  <si>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</si>
  <si>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</si>
  <si>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</si>
  <si>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</si>
  <si>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</si>
  <si>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</si>
  <si>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</si>
  <si>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</si>
  <si>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</si>
  <si>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</si>
  <si>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</si>
  <si>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</si>
  <si>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</si>
  <si>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</si>
  <si>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</si>
  <si>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</si>
  <si>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</si>
  <si>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</si>
  <si>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</si>
  <si>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</si>
  <si>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</si>
  <si>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</si>
  <si>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</si>
  <si>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</si>
  <si>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</si>
  <si>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</si>
  <si>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</si>
  <si>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</si>
  <si>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</si>
  <si>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</si>
  <si>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</si>
  <si>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</si>
  <si>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</si>
  <si>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</si>
  <si>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</si>
  <si>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</si>
  <si>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</si>
  <si>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</si>
  <si>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</si>
  <si>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</si>
  <si>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</si>
  <si>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</si>
  <si>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</si>
  <si>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</si>
  <si>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</si>
  <si>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</si>
  <si>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</si>
  <si>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</si>
  <si>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</si>
  <si>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</si>
  <si>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</si>
  <si>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</si>
  <si>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</si>
  <si>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</si>
  <si>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</si>
  <si>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</si>
  <si>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</si>
  <si>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</si>
  <si>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</si>
  <si>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</si>
  <si>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</si>
  <si>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</si>
  <si>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</si>
  <si>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</si>
  <si>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</si>
  <si>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</si>
  <si>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</si>
  <si>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</si>
  <si>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</si>
  <si>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</si>
  <si>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</si>
  <si>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</si>
  <si>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</si>
  <si>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</si>
  <si>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</si>
  <si>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</si>
  <si>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</si>
  <si>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</si>
  <si>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</si>
  <si>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</si>
  <si>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</si>
  <si>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</si>
  <si>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</si>
  <si>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</si>
  <si>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</si>
  <si>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</si>
  <si>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</si>
  <si>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</si>
  <si>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</si>
  <si>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</si>
  <si>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</si>
  <si>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</si>
  <si>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</si>
  <si>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</si>
  <si>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</si>
  <si>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</si>
  <si>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</si>
  <si>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</si>
  <si>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</si>
  <si>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</si>
  <si>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</si>
  <si>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</si>
  <si>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</si>
  <si>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</si>
  <si>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</si>
  <si>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</si>
  <si>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</si>
  <si>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</si>
  <si>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</si>
  <si>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</si>
  <si>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</si>
  <si>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</si>
  <si>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</si>
  <si>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</si>
  <si>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</si>
  <si>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</si>
  <si>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</si>
  <si>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</si>
  <si>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</si>
  <si>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</si>
  <si>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</si>
  <si>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</si>
  <si>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</si>
  <si>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</si>
  <si>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</si>
  <si>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</si>
  <si>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</si>
  <si>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</si>
  <si>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</si>
  <si>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</si>
  <si>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</si>
  <si>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</si>
  <si>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</si>
  <si>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</si>
  <si>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</si>
  <si>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</si>
  <si>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</si>
  <si>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</si>
  <si>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</si>
  <si>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</si>
  <si>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3 MESE</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</si>
  <si>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</si>
  <si>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</si>
  <si>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</si>
  <si>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</si>
  <si>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</si>
  <si>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</si>
  <si>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</si>
  <si>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</si>
  <si>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</si>
  <si>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</si>
  <si>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</si>
  <si>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</si>
  <si>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</si>
  <si>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</si>
  <si>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</si>
  <si>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</si>
  <si>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1 Mes</t>
  </si>
  <si>
    <t>81101700 - 81112300 - 81111812</t>
  </si>
  <si>
    <t>SERVICIO DE MANTENIMIENTO PREVENTIVO Y CORRECTIVO DE LOS SISTEMAS: NEUMATICO, VENTILACION MECÁNICA DEL EDIFICIO DE TALLERES DEL ICFE y REDES CONTRA INCENDIO DE LOS CONJUNTOS</t>
  </si>
  <si>
    <t>“RadiaciónlicenciaproyectoCúcuta</t>
  </si>
  <si>
    <t>PRESTACIÓN DE SERVICIOS TÉCNICOS PARA EL APOYO ADMINISTRATIVO AL ÁREA DE CARTERA</t>
  </si>
  <si>
    <t>CARTERA</t>
  </si>
  <si>
    <t>SOPORTE Y ACTUIALIZACIÓN DEL PORTAL WEB</t>
  </si>
  <si>
    <t>43232100
43232400
81112100</t>
  </si>
  <si>
    <t>2.5 MESES</t>
  </si>
  <si>
    <t>PLANEACION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</si>
</sst>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62">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4" fontId="1" fillId="0" borderId="4" xfId="0" applyNumberFormat="1" applyFont="1" applyFill="1" applyBorder="1" applyAlignment="1" applyProtection="1">
      <alignment horizontal="right" vertical="center"/>
      <protection locked="0"/>
    </xf>
    <xf numFmtId="4" fontId="10" fillId="0" borderId="2" xfId="0" applyNumberFormat="1" applyFont="1" applyFill="1" applyBorder="1" applyAlignment="1" applyProtection="1">
      <alignment horizontal="right" vertical="center"/>
      <protection locked="0"/>
    </xf>
    <xf numFmtId="4" fontId="1" fillId="0"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pplyProtection="1">
      <alignment horizontal="right" vertical="center" wrapText="1"/>
      <protection locked="0"/>
    </xf>
    <xf numFmtId="4" fontId="9" fillId="0" borderId="2" xfId="0" applyNumberFormat="1" applyFont="1" applyFill="1" applyBorder="1" applyAlignment="1" applyProtection="1">
      <alignment horizontal="right" vertical="center"/>
      <protection locked="0"/>
    </xf>
    <xf numFmtId="4" fontId="3" fillId="0" borderId="2" xfId="0" applyNumberFormat="1" applyFont="1" applyFill="1" applyBorder="1" applyAlignment="1" applyProtection="1">
      <alignment horizontal="right" vertical="center"/>
      <protection locked="0"/>
    </xf>
    <xf numFmtId="4" fontId="4" fillId="21" borderId="2" xfId="0" applyNumberFormat="1" applyFont="1" applyFill="1" applyBorder="1" applyAlignment="1" applyProtection="1">
      <alignment horizontal="right" vertical="center"/>
      <protection locked="0"/>
    </xf>
    <xf numFmtId="4" fontId="1" fillId="21" borderId="2" xfId="0" applyNumberFormat="1" applyFont="1" applyFill="1" applyBorder="1" applyAlignment="1">
      <alignment horizontal="right" vertical="center" wrapText="1"/>
    </xf>
    <xf numFmtId="4" fontId="3" fillId="0" borderId="37" xfId="0" applyNumberFormat="1" applyFont="1" applyFill="1" applyBorder="1" applyAlignment="1" applyProtection="1">
      <alignment horizontal="right" vertical="center"/>
      <protection locked="0"/>
    </xf>
    <xf numFmtId="4" fontId="3" fillId="0" borderId="38"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0" fillId="0" borderId="36" xfId="0" applyNumberFormat="1" applyFont="1" applyFill="1" applyBorder="1" applyAlignment="1" applyProtection="1">
      <alignment horizontal="right" vertical="center"/>
      <protection locked="0"/>
    </xf>
    <xf numFmtId="168" fontId="1" fillId="0" borderId="36" xfId="0" applyNumberFormat="1" applyFont="1" applyFill="1" applyBorder="1" applyAlignment="1" applyProtection="1">
      <alignment horizontal="right" vertical="center"/>
      <protection locked="0"/>
    </xf>
    <xf numFmtId="168" fontId="1" fillId="21" borderId="36" xfId="0" applyNumberFormat="1" applyFont="1" applyFill="1" applyBorder="1" applyAlignment="1" applyProtection="1">
      <alignment horizontal="right" vertical="center"/>
      <protection locked="0"/>
    </xf>
    <xf numFmtId="168" fontId="1" fillId="0" borderId="39" xfId="0" applyNumberFormat="1" applyFont="1" applyFill="1" applyBorder="1" applyAlignment="1" applyProtection="1">
      <alignment horizontal="right" vertical="center"/>
      <protection locked="0"/>
    </xf>
    <xf numFmtId="168" fontId="1" fillId="0" borderId="4" xfId="0" applyNumberFormat="1" applyFont="1" applyFill="1" applyBorder="1" applyAlignment="1" applyProtection="1">
      <alignment horizontal="right" vertical="center"/>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21" borderId="22" xfId="0" applyFont="1" applyFill="1" applyBorder="1" applyAlignment="1" applyProtection="1">
      <alignment horizontal="center" vertical="center" wrapText="1"/>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illerm\Downloads\Soport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DPS"/>
      <sheetName val="CRPS"/>
      <sheetName val="OB"/>
      <sheetName val="OP"/>
    </sheetNames>
    <sheetDataSet>
      <sheetData sheetId="0">
        <row r="39">
          <cell r="P39">
            <v>1127013.3600000001</v>
          </cell>
        </row>
        <row r="521">
          <cell r="O521">
            <v>27108000</v>
          </cell>
          <cell r="P521">
            <v>8413500</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2"/>
  <sheetViews>
    <sheetView workbookViewId="0">
      <selection activeCell="G23" sqref="G23"/>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106171</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106155</v>
      </c>
    </row>
    <row r="21" spans="7:7" x14ac:dyDescent="0.25">
      <c r="G21" t="s">
        <v>106229</v>
      </c>
    </row>
    <row r="22" spans="7:7" x14ac:dyDescent="0.25">
      <c r="G22" t="s">
        <v>106233</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X534"/>
  <sheetViews>
    <sheetView showGridLines="0" tabSelected="1" topLeftCell="L6" zoomScale="90" zoomScaleNormal="90" workbookViewId="0">
      <pane xSplit="8340" ySplit="1065" topLeftCell="Q131" activePane="bottomLeft"/>
      <selection activeCell="S6" sqref="S6"/>
      <selection pane="topRight" activeCell="R6" sqref="R6"/>
      <selection pane="bottomLeft" activeCell="L143" sqref="L143"/>
      <selection pane="bottomRight" activeCell="Q83" sqref="Q83"/>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84.140625" style="202" bestFit="1" customWidth="1"/>
    <col min="13" max="13" width="19.5703125" style="786" bestFit="1" customWidth="1"/>
    <col min="14" max="14" width="22.5703125" style="765" bestFit="1" customWidth="1"/>
    <col min="15" max="15" width="22.140625" style="766" bestFit="1" customWidth="1"/>
    <col min="16" max="16" width="28.5703125" style="767" bestFit="1" customWidth="1"/>
    <col min="17" max="17" width="26" style="736" bestFit="1" customWidth="1"/>
    <col min="18" max="18" width="22.28515625" style="9" customWidth="1"/>
    <col min="19" max="19" width="25" style="5" customWidth="1"/>
    <col min="20" max="22" width="26.7109375" style="10" customWidth="1"/>
    <col min="23" max="23" width="26.7109375" style="822" customWidth="1"/>
    <col min="24" max="24" width="19.140625" style="348" bestFit="1" customWidth="1"/>
    <col min="25" max="16384" width="11.5703125" style="348"/>
  </cols>
  <sheetData>
    <row r="1" spans="2:23" x14ac:dyDescent="0.2">
      <c r="B1" s="5"/>
      <c r="C1" s="5"/>
      <c r="D1" s="5"/>
      <c r="E1" s="5"/>
      <c r="F1" s="5"/>
      <c r="G1" s="5"/>
      <c r="H1" s="5"/>
      <c r="I1" s="5"/>
      <c r="J1" s="5"/>
      <c r="K1" s="5"/>
      <c r="L1" s="5"/>
      <c r="M1" s="764"/>
    </row>
    <row r="2" spans="2:23" ht="15.75" x14ac:dyDescent="0.25">
      <c r="B2" s="11" t="s">
        <v>106204</v>
      </c>
      <c r="C2" s="5"/>
      <c r="D2" s="5"/>
      <c r="E2" s="5"/>
      <c r="F2" s="5"/>
      <c r="G2" s="5"/>
      <c r="H2" s="5"/>
      <c r="I2" s="5"/>
      <c r="J2" s="5"/>
      <c r="K2" s="5"/>
      <c r="L2" s="5"/>
      <c r="M2" s="764"/>
    </row>
    <row r="3" spans="2:23" ht="15.75" x14ac:dyDescent="0.25">
      <c r="B3" s="11"/>
      <c r="C3" s="5"/>
      <c r="D3" s="5"/>
      <c r="E3" s="5"/>
      <c r="F3" s="5"/>
      <c r="G3" s="5"/>
      <c r="H3" s="5"/>
      <c r="I3" s="5"/>
      <c r="J3" s="5"/>
      <c r="K3" s="5"/>
      <c r="L3" s="5"/>
      <c r="M3" s="764"/>
    </row>
    <row r="4" spans="2:23" ht="15.75" x14ac:dyDescent="0.25">
      <c r="B4" s="11" t="s">
        <v>148</v>
      </c>
      <c r="C4" s="5"/>
      <c r="D4" s="5"/>
      <c r="E4" s="5"/>
      <c r="F4" s="5"/>
      <c r="G4" s="5"/>
      <c r="H4" s="5"/>
      <c r="I4" s="5"/>
      <c r="J4" s="5"/>
      <c r="K4" s="5"/>
      <c r="M4" s="764"/>
    </row>
    <row r="5" spans="2:23" ht="18.75" thickBot="1" x14ac:dyDescent="0.25">
      <c r="B5" s="5"/>
      <c r="C5" s="5"/>
      <c r="D5" s="5"/>
      <c r="E5" s="5"/>
      <c r="F5" s="5"/>
      <c r="G5" s="5"/>
      <c r="H5" s="5"/>
      <c r="I5" s="5"/>
      <c r="J5" s="5"/>
      <c r="K5" s="5"/>
      <c r="L5" s="5"/>
      <c r="M5" s="764"/>
      <c r="T5" s="278" t="s">
        <v>464</v>
      </c>
      <c r="U5" s="278"/>
      <c r="V5" s="278"/>
      <c r="W5" s="823"/>
    </row>
    <row r="6" spans="2:23" ht="45"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37" t="s">
        <v>106090</v>
      </c>
      <c r="R6" s="320" t="s">
        <v>106021</v>
      </c>
      <c r="S6" s="320" t="s">
        <v>524</v>
      </c>
      <c r="T6" s="807" t="s">
        <v>147</v>
      </c>
      <c r="U6" s="15" t="s">
        <v>106201</v>
      </c>
      <c r="V6" s="16" t="s">
        <v>106202</v>
      </c>
      <c r="W6" s="824" t="s">
        <v>106203</v>
      </c>
    </row>
    <row r="7" spans="2:23" ht="15.75" x14ac:dyDescent="0.2">
      <c r="B7" s="309" t="s">
        <v>7</v>
      </c>
      <c r="C7" s="309" t="s">
        <v>20</v>
      </c>
      <c r="D7" s="309"/>
      <c r="E7" s="309"/>
      <c r="F7" s="309"/>
      <c r="G7" s="309"/>
      <c r="H7" s="309"/>
      <c r="I7" s="309"/>
      <c r="J7" s="309"/>
      <c r="K7" s="326"/>
      <c r="L7" s="315" t="s">
        <v>244</v>
      </c>
      <c r="M7" s="768"/>
      <c r="N7" s="768"/>
      <c r="O7" s="769"/>
      <c r="P7" s="769"/>
      <c r="Q7" s="738">
        <f>+Q8+Q25</f>
        <v>8484999999.999999</v>
      </c>
      <c r="R7" s="228">
        <v>8485000000</v>
      </c>
      <c r="S7" s="251">
        <f>+Q7-R7</f>
        <v>0</v>
      </c>
      <c r="T7" s="679"/>
      <c r="U7" s="809"/>
      <c r="V7" s="799"/>
      <c r="W7" s="825"/>
    </row>
    <row r="8" spans="2:23" s="349" customFormat="1" ht="15.75" x14ac:dyDescent="0.25">
      <c r="B8" s="310" t="s">
        <v>7</v>
      </c>
      <c r="C8" s="310" t="s">
        <v>20</v>
      </c>
      <c r="D8" s="310" t="s">
        <v>8</v>
      </c>
      <c r="E8" s="310"/>
      <c r="F8" s="310"/>
      <c r="G8" s="310"/>
      <c r="H8" s="310"/>
      <c r="I8" s="310"/>
      <c r="J8" s="310"/>
      <c r="K8" s="327"/>
      <c r="L8" s="231" t="s">
        <v>25</v>
      </c>
      <c r="M8" s="770"/>
      <c r="N8" s="770"/>
      <c r="O8" s="771"/>
      <c r="P8" s="771"/>
      <c r="Q8" s="739">
        <f>+Q9</f>
        <v>397000000</v>
      </c>
      <c r="R8" s="209"/>
      <c r="S8" s="280"/>
      <c r="T8" s="680"/>
      <c r="U8" s="809"/>
      <c r="V8" s="799"/>
      <c r="W8" s="825"/>
    </row>
    <row r="9" spans="2:23" x14ac:dyDescent="0.2">
      <c r="B9" s="33" t="s">
        <v>7</v>
      </c>
      <c r="C9" s="33" t="s">
        <v>20</v>
      </c>
      <c r="D9" s="33" t="s">
        <v>8</v>
      </c>
      <c r="E9" s="33" t="s">
        <v>8</v>
      </c>
      <c r="F9" s="33"/>
      <c r="G9" s="33"/>
      <c r="H9" s="33"/>
      <c r="I9" s="33"/>
      <c r="J9" s="33"/>
      <c r="K9" s="328"/>
      <c r="L9" s="232" t="s">
        <v>26</v>
      </c>
      <c r="M9" s="35"/>
      <c r="N9" s="35"/>
      <c r="O9" s="36"/>
      <c r="P9" s="36"/>
      <c r="Q9" s="740">
        <f>+Q10+Q19</f>
        <v>397000000</v>
      </c>
      <c r="R9" s="210"/>
      <c r="S9" s="281"/>
      <c r="T9" s="681"/>
      <c r="U9" s="810"/>
      <c r="V9" s="800"/>
      <c r="W9" s="826"/>
    </row>
    <row r="10" spans="2:23" x14ac:dyDescent="0.2">
      <c r="B10" s="199" t="s">
        <v>7</v>
      </c>
      <c r="C10" s="199" t="s">
        <v>20</v>
      </c>
      <c r="D10" s="199" t="s">
        <v>8</v>
      </c>
      <c r="E10" s="199" t="s">
        <v>8</v>
      </c>
      <c r="F10" s="199" t="s">
        <v>12</v>
      </c>
      <c r="G10" s="199"/>
      <c r="H10" s="199"/>
      <c r="I10" s="199"/>
      <c r="J10" s="199"/>
      <c r="K10" s="329"/>
      <c r="L10" s="233" t="s">
        <v>35</v>
      </c>
      <c r="M10" s="41"/>
      <c r="N10" s="41"/>
      <c r="O10" s="42"/>
      <c r="P10" s="42"/>
      <c r="Q10" s="741">
        <f>+Q11+Q16</f>
        <v>397000000</v>
      </c>
      <c r="R10" s="211"/>
      <c r="S10" s="211"/>
      <c r="T10" s="682"/>
      <c r="U10" s="810"/>
      <c r="V10" s="800"/>
      <c r="W10" s="826"/>
    </row>
    <row r="11" spans="2:23" x14ac:dyDescent="0.2">
      <c r="B11" s="45" t="s">
        <v>7</v>
      </c>
      <c r="C11" s="45" t="s">
        <v>20</v>
      </c>
      <c r="D11" s="45" t="s">
        <v>8</v>
      </c>
      <c r="E11" s="45" t="s">
        <v>8</v>
      </c>
      <c r="F11" s="45" t="s">
        <v>12</v>
      </c>
      <c r="G11" s="45" t="s">
        <v>12</v>
      </c>
      <c r="H11" s="45"/>
      <c r="I11" s="45"/>
      <c r="J11" s="45"/>
      <c r="K11" s="330"/>
      <c r="L11" s="234" t="s">
        <v>36</v>
      </c>
      <c r="M11" s="47"/>
      <c r="N11" s="47"/>
      <c r="O11" s="48"/>
      <c r="P11" s="48"/>
      <c r="Q11" s="742">
        <f>+Q12</f>
        <v>327000000</v>
      </c>
      <c r="R11" s="212"/>
      <c r="S11" s="212"/>
      <c r="T11" s="90"/>
      <c r="U11" s="810"/>
      <c r="V11" s="800"/>
      <c r="W11" s="826"/>
    </row>
    <row r="12" spans="2:23" x14ac:dyDescent="0.2">
      <c r="B12" s="51" t="s">
        <v>7</v>
      </c>
      <c r="C12" s="51" t="s">
        <v>20</v>
      </c>
      <c r="D12" s="51" t="s">
        <v>8</v>
      </c>
      <c r="E12" s="51" t="s">
        <v>8</v>
      </c>
      <c r="F12" s="51" t="s">
        <v>12</v>
      </c>
      <c r="G12" s="51" t="s">
        <v>12</v>
      </c>
      <c r="H12" s="52" t="s">
        <v>20</v>
      </c>
      <c r="I12" s="51"/>
      <c r="J12" s="51"/>
      <c r="K12" s="51"/>
      <c r="L12" s="235" t="s">
        <v>37</v>
      </c>
      <c r="M12" s="54"/>
      <c r="N12" s="54"/>
      <c r="O12" s="55"/>
      <c r="P12" s="55"/>
      <c r="Q12" s="743">
        <f>SUM(Q13:Q15)</f>
        <v>327000000</v>
      </c>
      <c r="R12" s="213"/>
      <c r="S12" s="213"/>
      <c r="T12" s="683"/>
      <c r="U12" s="810"/>
      <c r="V12" s="800"/>
      <c r="W12" s="826"/>
    </row>
    <row r="13" spans="2:23" ht="44.25" customHeight="1" x14ac:dyDescent="0.2">
      <c r="B13" s="321"/>
      <c r="C13" s="93"/>
      <c r="D13" s="93"/>
      <c r="E13" s="93"/>
      <c r="F13" s="93"/>
      <c r="G13" s="93"/>
      <c r="H13" s="93"/>
      <c r="I13" s="93"/>
      <c r="J13" s="344"/>
      <c r="K13" s="706" t="s">
        <v>284</v>
      </c>
      <c r="L13" s="58" t="s">
        <v>285</v>
      </c>
      <c r="M13" s="59">
        <v>45076</v>
      </c>
      <c r="N13" s="59" t="s">
        <v>367</v>
      </c>
      <c r="O13" s="60" t="s">
        <v>106142</v>
      </c>
      <c r="P13" s="60" t="s">
        <v>425</v>
      </c>
      <c r="Q13" s="744">
        <f>100000000-100000000+150000000</f>
        <v>150000000</v>
      </c>
      <c r="R13" s="62"/>
      <c r="S13" s="63"/>
      <c r="T13" s="94" t="s">
        <v>166</v>
      </c>
      <c r="U13" s="811"/>
      <c r="V13" s="803"/>
      <c r="W13" s="827">
        <f t="shared" ref="W13" si="0">+V13-Q13</f>
        <v>-150000000</v>
      </c>
    </row>
    <row r="14" spans="2:23"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4">
        <f>110000000</f>
        <v>110000000</v>
      </c>
      <c r="R14" s="62"/>
      <c r="S14" s="63"/>
      <c r="T14" s="94" t="s">
        <v>156</v>
      </c>
      <c r="U14" s="811">
        <v>110000000</v>
      </c>
      <c r="V14" s="803"/>
      <c r="W14" s="827">
        <f>+V14-Q14</f>
        <v>-110000000</v>
      </c>
    </row>
    <row r="15" spans="2:23" ht="44.25" customHeight="1" x14ac:dyDescent="0.2">
      <c r="B15" s="321"/>
      <c r="C15" s="93"/>
      <c r="D15" s="93"/>
      <c r="E15" s="93"/>
      <c r="F15" s="93"/>
      <c r="G15" s="93"/>
      <c r="H15" s="93"/>
      <c r="I15" s="93"/>
      <c r="J15" s="344"/>
      <c r="K15" s="328">
        <v>43223300</v>
      </c>
      <c r="L15" s="100" t="s">
        <v>106123</v>
      </c>
      <c r="M15" s="59">
        <v>44977</v>
      </c>
      <c r="N15" s="59" t="s">
        <v>256</v>
      </c>
      <c r="O15" s="60" t="s">
        <v>106034</v>
      </c>
      <c r="P15" s="60" t="s">
        <v>425</v>
      </c>
      <c r="Q15" s="744">
        <v>67000000</v>
      </c>
      <c r="R15" s="62"/>
      <c r="S15" s="63"/>
      <c r="T15" s="94" t="s">
        <v>156</v>
      </c>
      <c r="U15" s="811">
        <v>67000000</v>
      </c>
      <c r="V15" s="803"/>
      <c r="W15" s="827">
        <f t="shared" ref="W15:W77" si="1">+V15-Q15</f>
        <v>-67000000</v>
      </c>
    </row>
    <row r="16" spans="2:23" x14ac:dyDescent="0.2">
      <c r="B16" s="45" t="s">
        <v>7</v>
      </c>
      <c r="C16" s="45" t="s">
        <v>20</v>
      </c>
      <c r="D16" s="45" t="s">
        <v>8</v>
      </c>
      <c r="E16" s="45" t="s">
        <v>8</v>
      </c>
      <c r="F16" s="45" t="s">
        <v>12</v>
      </c>
      <c r="G16" s="45" t="s">
        <v>13</v>
      </c>
      <c r="H16" s="45"/>
      <c r="I16" s="45"/>
      <c r="J16" s="45"/>
      <c r="K16" s="330"/>
      <c r="L16" s="234" t="s">
        <v>39</v>
      </c>
      <c r="M16" s="47"/>
      <c r="N16" s="47"/>
      <c r="O16" s="48"/>
      <c r="P16" s="48"/>
      <c r="Q16" s="742">
        <f>+Q17</f>
        <v>70000000</v>
      </c>
      <c r="R16" s="212"/>
      <c r="S16" s="212"/>
      <c r="T16" s="90"/>
      <c r="U16" s="810"/>
      <c r="V16" s="800"/>
      <c r="W16" s="826"/>
    </row>
    <row r="17" spans="2:23" x14ac:dyDescent="0.2">
      <c r="B17" s="51" t="s">
        <v>7</v>
      </c>
      <c r="C17" s="51" t="s">
        <v>20</v>
      </c>
      <c r="D17" s="51" t="s">
        <v>8</v>
      </c>
      <c r="E17" s="51" t="s">
        <v>8</v>
      </c>
      <c r="F17" s="51" t="s">
        <v>12</v>
      </c>
      <c r="G17" s="51" t="s">
        <v>13</v>
      </c>
      <c r="H17" s="51" t="s">
        <v>20</v>
      </c>
      <c r="I17" s="51"/>
      <c r="J17" s="51"/>
      <c r="K17" s="51"/>
      <c r="L17" s="235" t="s">
        <v>196</v>
      </c>
      <c r="M17" s="54"/>
      <c r="N17" s="54"/>
      <c r="O17" s="55"/>
      <c r="P17" s="55"/>
      <c r="Q17" s="743">
        <f>+Q18</f>
        <v>70000000</v>
      </c>
      <c r="R17" s="213"/>
      <c r="S17" s="213"/>
      <c r="T17" s="91"/>
      <c r="U17" s="810"/>
      <c r="V17" s="800"/>
      <c r="W17" s="826"/>
    </row>
    <row r="18" spans="2:23" ht="36.75" customHeight="1" x14ac:dyDescent="0.2">
      <c r="B18" s="321"/>
      <c r="C18" s="93"/>
      <c r="D18" s="93"/>
      <c r="E18" s="93"/>
      <c r="F18" s="93"/>
      <c r="G18" s="93"/>
      <c r="H18" s="93"/>
      <c r="I18" s="93"/>
      <c r="J18" s="344"/>
      <c r="K18" s="328">
        <v>43211500</v>
      </c>
      <c r="L18" s="129" t="s">
        <v>106148</v>
      </c>
      <c r="M18" s="59">
        <v>44986</v>
      </c>
      <c r="N18" s="59" t="s">
        <v>315</v>
      </c>
      <c r="O18" s="60" t="s">
        <v>442</v>
      </c>
      <c r="P18" s="60" t="s">
        <v>219</v>
      </c>
      <c r="Q18" s="744">
        <f>70000000-70000000+70000000</f>
        <v>70000000</v>
      </c>
      <c r="R18" s="711"/>
      <c r="S18" s="793"/>
      <c r="T18" s="94" t="s">
        <v>156</v>
      </c>
      <c r="U18" s="811">
        <v>70000000</v>
      </c>
      <c r="V18" s="803"/>
      <c r="W18" s="827">
        <f t="shared" si="1"/>
        <v>-70000000</v>
      </c>
    </row>
    <row r="19" spans="2:23" x14ac:dyDescent="0.2">
      <c r="B19" s="199" t="s">
        <v>7</v>
      </c>
      <c r="C19" s="199" t="s">
        <v>20</v>
      </c>
      <c r="D19" s="199" t="s">
        <v>8</v>
      </c>
      <c r="E19" s="199" t="s">
        <v>8</v>
      </c>
      <c r="F19" s="199" t="s">
        <v>14</v>
      </c>
      <c r="G19" s="199"/>
      <c r="H19" s="199"/>
      <c r="I19" s="199"/>
      <c r="J19" s="199"/>
      <c r="K19" s="329"/>
      <c r="L19" s="233" t="s">
        <v>41</v>
      </c>
      <c r="M19" s="41"/>
      <c r="N19" s="41"/>
      <c r="O19" s="42"/>
      <c r="P19" s="42"/>
      <c r="Q19" s="741">
        <f>+Q20</f>
        <v>0</v>
      </c>
      <c r="R19" s="211"/>
      <c r="S19" s="211"/>
      <c r="T19" s="682"/>
      <c r="U19" s="810"/>
      <c r="V19" s="800"/>
      <c r="W19" s="826"/>
    </row>
    <row r="20" spans="2:23" x14ac:dyDescent="0.2">
      <c r="B20" s="45" t="s">
        <v>7</v>
      </c>
      <c r="C20" s="45" t="s">
        <v>20</v>
      </c>
      <c r="D20" s="45" t="s">
        <v>8</v>
      </c>
      <c r="E20" s="45" t="s">
        <v>8</v>
      </c>
      <c r="F20" s="45" t="s">
        <v>14</v>
      </c>
      <c r="G20" s="45" t="s">
        <v>10</v>
      </c>
      <c r="H20" s="45"/>
      <c r="I20" s="45"/>
      <c r="J20" s="45"/>
      <c r="K20" s="330"/>
      <c r="L20" s="234" t="s">
        <v>42</v>
      </c>
      <c r="M20" s="47"/>
      <c r="N20" s="47"/>
      <c r="O20" s="48"/>
      <c r="P20" s="48"/>
      <c r="Q20" s="742">
        <f>+Q21</f>
        <v>0</v>
      </c>
      <c r="R20" s="212"/>
      <c r="S20" s="212"/>
      <c r="T20" s="90"/>
      <c r="U20" s="810"/>
      <c r="V20" s="800"/>
      <c r="W20" s="826"/>
    </row>
    <row r="21" spans="2:23" x14ac:dyDescent="0.2">
      <c r="B21" s="51" t="s">
        <v>7</v>
      </c>
      <c r="C21" s="51" t="s">
        <v>20</v>
      </c>
      <c r="D21" s="51" t="s">
        <v>8</v>
      </c>
      <c r="E21" s="51" t="s">
        <v>8</v>
      </c>
      <c r="F21" s="51" t="s">
        <v>14</v>
      </c>
      <c r="G21" s="51" t="s">
        <v>10</v>
      </c>
      <c r="H21" s="51" t="s">
        <v>23</v>
      </c>
      <c r="I21" s="51"/>
      <c r="J21" s="51"/>
      <c r="K21" s="51"/>
      <c r="L21" s="235" t="s">
        <v>43</v>
      </c>
      <c r="M21" s="54"/>
      <c r="N21" s="54"/>
      <c r="O21" s="55"/>
      <c r="P21" s="55"/>
      <c r="Q21" s="743">
        <f>+Q22</f>
        <v>0</v>
      </c>
      <c r="R21" s="213"/>
      <c r="S21" s="213"/>
      <c r="T21" s="91"/>
      <c r="U21" s="810"/>
      <c r="V21" s="800"/>
      <c r="W21" s="826"/>
    </row>
    <row r="22" spans="2:23"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3">
        <f>+Q23</f>
        <v>0</v>
      </c>
      <c r="R22" s="213"/>
      <c r="S22" s="213"/>
      <c r="T22" s="91"/>
      <c r="U22" s="810"/>
      <c r="V22" s="800"/>
      <c r="W22" s="826"/>
    </row>
    <row r="23" spans="2:23"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3">
        <f>+Q24</f>
        <v>0</v>
      </c>
      <c r="R23" s="213"/>
      <c r="S23" s="213"/>
      <c r="T23" s="91"/>
      <c r="U23" s="810"/>
      <c r="V23" s="800"/>
      <c r="W23" s="826"/>
    </row>
    <row r="24" spans="2:23" ht="30" x14ac:dyDescent="0.2">
      <c r="B24" s="321"/>
      <c r="C24" s="93"/>
      <c r="D24" s="93"/>
      <c r="E24" s="93"/>
      <c r="F24" s="93"/>
      <c r="G24" s="93"/>
      <c r="H24" s="93"/>
      <c r="I24" s="93"/>
      <c r="J24" s="344"/>
      <c r="K24" s="328">
        <v>43231500</v>
      </c>
      <c r="L24" s="58" t="s">
        <v>380</v>
      </c>
      <c r="M24" s="59">
        <v>45168</v>
      </c>
      <c r="N24" s="59" t="s">
        <v>372</v>
      </c>
      <c r="O24" s="60" t="s">
        <v>234</v>
      </c>
      <c r="P24" s="60" t="s">
        <v>425</v>
      </c>
      <c r="Q24" s="744">
        <f>79700000-79700000</f>
        <v>0</v>
      </c>
      <c r="R24" s="62"/>
      <c r="S24" s="63"/>
      <c r="T24" s="94" t="s">
        <v>163</v>
      </c>
      <c r="U24" s="811"/>
      <c r="V24" s="803"/>
      <c r="W24" s="827">
        <f t="shared" si="1"/>
        <v>0</v>
      </c>
    </row>
    <row r="25" spans="2:23" s="349" customFormat="1" ht="15.75" x14ac:dyDescent="0.25">
      <c r="B25" s="310" t="s">
        <v>7</v>
      </c>
      <c r="C25" s="310" t="s">
        <v>20</v>
      </c>
      <c r="D25" s="310" t="s">
        <v>20</v>
      </c>
      <c r="E25" s="310"/>
      <c r="F25" s="310"/>
      <c r="G25" s="310"/>
      <c r="H25" s="310"/>
      <c r="I25" s="310"/>
      <c r="J25" s="310"/>
      <c r="K25" s="327"/>
      <c r="L25" s="231" t="s">
        <v>46</v>
      </c>
      <c r="M25" s="770"/>
      <c r="N25" s="770"/>
      <c r="O25" s="771"/>
      <c r="P25" s="771"/>
      <c r="Q25" s="739">
        <f>+Q26+Q90</f>
        <v>8087999999.999999</v>
      </c>
      <c r="R25" s="209"/>
      <c r="S25" s="209"/>
      <c r="T25" s="680"/>
      <c r="U25" s="809"/>
      <c r="V25" s="799"/>
      <c r="W25" s="826"/>
    </row>
    <row r="26" spans="2:23" x14ac:dyDescent="0.2">
      <c r="B26" s="33" t="s">
        <v>7</v>
      </c>
      <c r="C26" s="33" t="s">
        <v>20</v>
      </c>
      <c r="D26" s="33" t="s">
        <v>20</v>
      </c>
      <c r="E26" s="33" t="s">
        <v>8</v>
      </c>
      <c r="F26" s="33"/>
      <c r="G26" s="33"/>
      <c r="H26" s="33"/>
      <c r="I26" s="33"/>
      <c r="J26" s="33"/>
      <c r="K26" s="328"/>
      <c r="L26" s="232" t="s">
        <v>47</v>
      </c>
      <c r="M26" s="35"/>
      <c r="N26" s="35"/>
      <c r="O26" s="36"/>
      <c r="P26" s="36"/>
      <c r="Q26" s="740">
        <f>+Q27+Q31+Q43+Q70</f>
        <v>959828063.36000001</v>
      </c>
      <c r="R26" s="210"/>
      <c r="S26" s="210"/>
      <c r="T26" s="684"/>
      <c r="U26" s="810"/>
      <c r="V26" s="800"/>
      <c r="W26" s="826"/>
    </row>
    <row r="27" spans="2:23" x14ac:dyDescent="0.2">
      <c r="B27" s="199" t="s">
        <v>7</v>
      </c>
      <c r="C27" s="199" t="s">
        <v>20</v>
      </c>
      <c r="D27" s="199" t="s">
        <v>20</v>
      </c>
      <c r="E27" s="199" t="s">
        <v>8</v>
      </c>
      <c r="F27" s="199" t="s">
        <v>138</v>
      </c>
      <c r="G27" s="199"/>
      <c r="H27" s="199"/>
      <c r="I27" s="199"/>
      <c r="J27" s="199"/>
      <c r="K27" s="329"/>
      <c r="L27" s="233" t="s">
        <v>139</v>
      </c>
      <c r="M27" s="41"/>
      <c r="N27" s="41"/>
      <c r="O27" s="42"/>
      <c r="P27" s="42"/>
      <c r="Q27" s="741">
        <f>+Q28</f>
        <v>10000000</v>
      </c>
      <c r="R27" s="211"/>
      <c r="S27" s="211"/>
      <c r="T27" s="682"/>
      <c r="U27" s="810"/>
      <c r="V27" s="800"/>
      <c r="W27" s="826"/>
    </row>
    <row r="28" spans="2:23" x14ac:dyDescent="0.2">
      <c r="B28" s="45" t="s">
        <v>7</v>
      </c>
      <c r="C28" s="45" t="s">
        <v>20</v>
      </c>
      <c r="D28" s="45" t="s">
        <v>20</v>
      </c>
      <c r="E28" s="45" t="s">
        <v>8</v>
      </c>
      <c r="F28" s="45" t="s">
        <v>138</v>
      </c>
      <c r="G28" s="45" t="s">
        <v>9</v>
      </c>
      <c r="H28" s="45"/>
      <c r="I28" s="45"/>
      <c r="J28" s="45"/>
      <c r="K28" s="330"/>
      <c r="L28" s="234" t="s">
        <v>140</v>
      </c>
      <c r="M28" s="47"/>
      <c r="N28" s="47"/>
      <c r="O28" s="48"/>
      <c r="P28" s="48"/>
      <c r="Q28" s="742">
        <f>+Q29</f>
        <v>10000000</v>
      </c>
      <c r="R28" s="212"/>
      <c r="S28" s="212"/>
      <c r="T28" s="90"/>
      <c r="U28" s="810"/>
      <c r="V28" s="800"/>
      <c r="W28" s="826"/>
    </row>
    <row r="29" spans="2:23"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45">
        <f>+Q30</f>
        <v>10000000</v>
      </c>
      <c r="R29" s="214"/>
      <c r="S29" s="214"/>
      <c r="T29" s="685"/>
      <c r="U29" s="810"/>
      <c r="V29" s="800"/>
      <c r="W29" s="826"/>
    </row>
    <row r="30" spans="2:23" ht="30" x14ac:dyDescent="0.2">
      <c r="B30" s="94"/>
      <c r="C30" s="302"/>
      <c r="D30" s="302"/>
      <c r="E30" s="302"/>
      <c r="F30" s="302"/>
      <c r="G30" s="302"/>
      <c r="H30" s="302"/>
      <c r="I30" s="302"/>
      <c r="J30" s="347"/>
      <c r="K30" s="706">
        <v>50201700</v>
      </c>
      <c r="L30" s="129" t="s">
        <v>304</v>
      </c>
      <c r="M30" s="59">
        <v>44972</v>
      </c>
      <c r="N30" s="59" t="s">
        <v>256</v>
      </c>
      <c r="O30" s="60" t="s">
        <v>305</v>
      </c>
      <c r="P30" s="60" t="s">
        <v>219</v>
      </c>
      <c r="Q30" s="744">
        <v>10000000</v>
      </c>
      <c r="R30" s="62"/>
      <c r="S30" s="63"/>
      <c r="T30" s="94" t="s">
        <v>163</v>
      </c>
      <c r="U30" s="811">
        <v>10000000</v>
      </c>
      <c r="V30" s="803">
        <v>10000000</v>
      </c>
      <c r="W30" s="827">
        <f t="shared" si="1"/>
        <v>0</v>
      </c>
    </row>
    <row r="31" spans="2:23" ht="30" x14ac:dyDescent="0.2">
      <c r="B31" s="199" t="s">
        <v>7</v>
      </c>
      <c r="C31" s="199" t="s">
        <v>20</v>
      </c>
      <c r="D31" s="199" t="s">
        <v>20</v>
      </c>
      <c r="E31" s="199" t="s">
        <v>8</v>
      </c>
      <c r="F31" s="199" t="s">
        <v>10</v>
      </c>
      <c r="G31" s="199"/>
      <c r="H31" s="199"/>
      <c r="I31" s="199"/>
      <c r="J31" s="199"/>
      <c r="K31" s="329"/>
      <c r="L31" s="233" t="s">
        <v>48</v>
      </c>
      <c r="M31" s="41"/>
      <c r="N31" s="41"/>
      <c r="O31" s="42"/>
      <c r="P31" s="42"/>
      <c r="Q31" s="741">
        <f>+Q32+Q37+Q40</f>
        <v>389400000</v>
      </c>
      <c r="R31" s="211"/>
      <c r="S31" s="211"/>
      <c r="T31" s="682"/>
      <c r="U31" s="810"/>
      <c r="V31" s="800"/>
      <c r="W31" s="826"/>
    </row>
    <row r="32" spans="2:23" ht="30" x14ac:dyDescent="0.2">
      <c r="B32" s="45" t="s">
        <v>7</v>
      </c>
      <c r="C32" s="45" t="s">
        <v>20</v>
      </c>
      <c r="D32" s="45" t="s">
        <v>20</v>
      </c>
      <c r="E32" s="45" t="s">
        <v>8</v>
      </c>
      <c r="F32" s="45" t="s">
        <v>10</v>
      </c>
      <c r="G32" s="45" t="s">
        <v>11</v>
      </c>
      <c r="H32" s="45"/>
      <c r="I32" s="45"/>
      <c r="J32" s="45"/>
      <c r="K32" s="330"/>
      <c r="L32" s="234" t="s">
        <v>49</v>
      </c>
      <c r="M32" s="47"/>
      <c r="N32" s="47"/>
      <c r="O32" s="48"/>
      <c r="P32" s="48"/>
      <c r="Q32" s="742">
        <f>+Q33+Q35</f>
        <v>13100000</v>
      </c>
      <c r="R32" s="212"/>
      <c r="S32" s="212"/>
      <c r="T32" s="90"/>
      <c r="U32" s="810"/>
      <c r="V32" s="800"/>
      <c r="W32" s="826"/>
    </row>
    <row r="33" spans="2:23" x14ac:dyDescent="0.2">
      <c r="B33" s="51" t="s">
        <v>7</v>
      </c>
      <c r="C33" s="51" t="s">
        <v>20</v>
      </c>
      <c r="D33" s="51" t="s">
        <v>20</v>
      </c>
      <c r="E33" s="51" t="s">
        <v>8</v>
      </c>
      <c r="F33" s="51" t="s">
        <v>10</v>
      </c>
      <c r="G33" s="51" t="s">
        <v>11</v>
      </c>
      <c r="H33" s="51" t="s">
        <v>27</v>
      </c>
      <c r="I33" s="51"/>
      <c r="J33" s="51"/>
      <c r="K33" s="51"/>
      <c r="L33" s="235" t="s">
        <v>50</v>
      </c>
      <c r="M33" s="54"/>
      <c r="N33" s="54"/>
      <c r="O33" s="55"/>
      <c r="P33" s="55"/>
      <c r="Q33" s="743">
        <f>+Q34</f>
        <v>3100000</v>
      </c>
      <c r="R33" s="213"/>
      <c r="S33" s="213"/>
      <c r="T33" s="91"/>
      <c r="U33" s="810"/>
      <c r="V33" s="800"/>
      <c r="W33" s="826"/>
    </row>
    <row r="34" spans="2:23" ht="30" x14ac:dyDescent="0.2">
      <c r="B34" s="321"/>
      <c r="C34" s="93"/>
      <c r="D34" s="93"/>
      <c r="E34" s="93"/>
      <c r="F34" s="93"/>
      <c r="G34" s="93"/>
      <c r="H34" s="93"/>
      <c r="I34" s="93"/>
      <c r="J34" s="344"/>
      <c r="K34" s="706">
        <v>50161500</v>
      </c>
      <c r="L34" s="129" t="s">
        <v>306</v>
      </c>
      <c r="M34" s="59">
        <v>44972</v>
      </c>
      <c r="N34" s="59" t="s">
        <v>256</v>
      </c>
      <c r="O34" s="60" t="s">
        <v>305</v>
      </c>
      <c r="P34" s="60" t="s">
        <v>219</v>
      </c>
      <c r="Q34" s="744">
        <v>3100000</v>
      </c>
      <c r="R34" s="62"/>
      <c r="S34" s="63"/>
      <c r="T34" s="94" t="s">
        <v>163</v>
      </c>
      <c r="U34" s="811">
        <v>3100000</v>
      </c>
      <c r="V34" s="803">
        <v>3100000</v>
      </c>
      <c r="W34" s="827">
        <f t="shared" si="1"/>
        <v>0</v>
      </c>
    </row>
    <row r="35" spans="2:23" x14ac:dyDescent="0.2">
      <c r="B35" s="51" t="s">
        <v>7</v>
      </c>
      <c r="C35" s="51" t="s">
        <v>20</v>
      </c>
      <c r="D35" s="51" t="s">
        <v>20</v>
      </c>
      <c r="E35" s="51" t="s">
        <v>8</v>
      </c>
      <c r="F35" s="51" t="s">
        <v>10</v>
      </c>
      <c r="G35" s="51" t="s">
        <v>11</v>
      </c>
      <c r="H35" s="51" t="s">
        <v>30</v>
      </c>
      <c r="I35" s="51"/>
      <c r="J35" s="51"/>
      <c r="K35" s="51"/>
      <c r="L35" s="235" t="s">
        <v>51</v>
      </c>
      <c r="M35" s="54"/>
      <c r="N35" s="54"/>
      <c r="O35" s="55"/>
      <c r="P35" s="55"/>
      <c r="Q35" s="743">
        <f>+Q36</f>
        <v>10000000</v>
      </c>
      <c r="R35" s="213"/>
      <c r="S35" s="213"/>
      <c r="T35" s="91"/>
      <c r="U35" s="810"/>
      <c r="V35" s="800"/>
      <c r="W35" s="826"/>
    </row>
    <row r="36" spans="2:23" ht="30" x14ac:dyDescent="0.2">
      <c r="B36" s="321"/>
      <c r="C36" s="93"/>
      <c r="D36" s="93"/>
      <c r="E36" s="93"/>
      <c r="F36" s="93"/>
      <c r="G36" s="93"/>
      <c r="H36" s="93"/>
      <c r="I36" s="93"/>
      <c r="J36" s="344"/>
      <c r="K36" s="328">
        <v>50161500</v>
      </c>
      <c r="L36" s="129" t="s">
        <v>307</v>
      </c>
      <c r="M36" s="59">
        <v>44972</v>
      </c>
      <c r="N36" s="59" t="s">
        <v>256</v>
      </c>
      <c r="O36" s="60" t="s">
        <v>305</v>
      </c>
      <c r="P36" s="60" t="s">
        <v>219</v>
      </c>
      <c r="Q36" s="744">
        <v>10000000</v>
      </c>
      <c r="R36" s="62"/>
      <c r="S36" s="63"/>
      <c r="T36" s="94" t="s">
        <v>163</v>
      </c>
      <c r="U36" s="811">
        <v>10000000</v>
      </c>
      <c r="V36" s="803">
        <v>10000000</v>
      </c>
      <c r="W36" s="827">
        <f t="shared" si="1"/>
        <v>0</v>
      </c>
    </row>
    <row r="37" spans="2:23" x14ac:dyDescent="0.2">
      <c r="B37" s="45" t="s">
        <v>7</v>
      </c>
      <c r="C37" s="45" t="s">
        <v>20</v>
      </c>
      <c r="D37" s="45" t="s">
        <v>20</v>
      </c>
      <c r="E37" s="45" t="s">
        <v>8</v>
      </c>
      <c r="F37" s="45" t="s">
        <v>10</v>
      </c>
      <c r="G37" s="45" t="s">
        <v>15</v>
      </c>
      <c r="H37" s="45"/>
      <c r="I37" s="45"/>
      <c r="J37" s="45"/>
      <c r="K37" s="330"/>
      <c r="L37" s="234" t="s">
        <v>52</v>
      </c>
      <c r="M37" s="47"/>
      <c r="N37" s="47"/>
      <c r="O37" s="48"/>
      <c r="P37" s="48"/>
      <c r="Q37" s="742">
        <f>SUM(Q38:Q39)</f>
        <v>89500000</v>
      </c>
      <c r="R37" s="212"/>
      <c r="S37" s="212"/>
      <c r="T37" s="90"/>
      <c r="U37" s="810"/>
      <c r="V37" s="800"/>
      <c r="W37" s="826"/>
    </row>
    <row r="38" spans="2:23" ht="30" x14ac:dyDescent="0.2">
      <c r="B38" s="321"/>
      <c r="C38" s="93"/>
      <c r="D38" s="93"/>
      <c r="E38" s="93"/>
      <c r="F38" s="93"/>
      <c r="G38" s="93"/>
      <c r="H38" s="93"/>
      <c r="I38" s="93"/>
      <c r="J38" s="344"/>
      <c r="K38" s="328">
        <v>14121500</v>
      </c>
      <c r="L38" s="129" t="s">
        <v>308</v>
      </c>
      <c r="M38" s="59">
        <v>44972</v>
      </c>
      <c r="N38" s="59" t="s">
        <v>256</v>
      </c>
      <c r="O38" s="60" t="s">
        <v>305</v>
      </c>
      <c r="P38" s="60" t="s">
        <v>219</v>
      </c>
      <c r="Q38" s="744">
        <v>500000</v>
      </c>
      <c r="R38" s="62"/>
      <c r="S38" s="63"/>
      <c r="T38" s="94" t="s">
        <v>163</v>
      </c>
      <c r="U38" s="811">
        <v>500000</v>
      </c>
      <c r="V38" s="803">
        <v>500000</v>
      </c>
      <c r="W38" s="827">
        <f t="shared" si="1"/>
        <v>0</v>
      </c>
    </row>
    <row r="39" spans="2:23"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4">
        <f>45000000+31600000+10000000+2400000</f>
        <v>89000000</v>
      </c>
      <c r="R39" s="62"/>
      <c r="S39" s="63"/>
      <c r="T39" s="94" t="s">
        <v>401</v>
      </c>
      <c r="U39" s="811">
        <f>88880000+120000</f>
        <v>89000000</v>
      </c>
      <c r="V39" s="803"/>
      <c r="W39" s="827">
        <f t="shared" si="1"/>
        <v>-89000000</v>
      </c>
    </row>
    <row r="40" spans="2:23" x14ac:dyDescent="0.2">
      <c r="B40" s="45" t="s">
        <v>7</v>
      </c>
      <c r="C40" s="45" t="s">
        <v>20</v>
      </c>
      <c r="D40" s="45" t="s">
        <v>20</v>
      </c>
      <c r="E40" s="45" t="s">
        <v>8</v>
      </c>
      <c r="F40" s="45" t="s">
        <v>10</v>
      </c>
      <c r="G40" s="45" t="s">
        <v>16</v>
      </c>
      <c r="H40" s="45"/>
      <c r="I40" s="45"/>
      <c r="J40" s="45"/>
      <c r="K40" s="330"/>
      <c r="L40" s="234" t="s">
        <v>53</v>
      </c>
      <c r="M40" s="47"/>
      <c r="N40" s="47"/>
      <c r="O40" s="48"/>
      <c r="P40" s="48"/>
      <c r="Q40" s="742">
        <f>SUM(Q41:Q42)</f>
        <v>286800000</v>
      </c>
      <c r="R40" s="212"/>
      <c r="S40" s="212"/>
      <c r="T40" s="90"/>
      <c r="U40" s="810"/>
      <c r="V40" s="800"/>
      <c r="W40" s="826"/>
    </row>
    <row r="41" spans="2:23" ht="39" customHeight="1" x14ac:dyDescent="0.2">
      <c r="B41" s="321"/>
      <c r="C41" s="93"/>
      <c r="D41" s="93"/>
      <c r="E41" s="93"/>
      <c r="F41" s="93"/>
      <c r="G41" s="93"/>
      <c r="H41" s="93"/>
      <c r="I41" s="93"/>
      <c r="J41" s="344"/>
      <c r="K41" s="706" t="s">
        <v>309</v>
      </c>
      <c r="L41" s="129" t="s">
        <v>157</v>
      </c>
      <c r="M41" s="59">
        <v>45107</v>
      </c>
      <c r="N41" s="59" t="s">
        <v>361</v>
      </c>
      <c r="O41" s="60" t="s">
        <v>319</v>
      </c>
      <c r="P41" s="60" t="s">
        <v>425</v>
      </c>
      <c r="Q41" s="744">
        <f>72200000+20000000+12000000</f>
        <v>104200000</v>
      </c>
      <c r="R41" s="62"/>
      <c r="S41" s="63"/>
      <c r="T41" s="94" t="s">
        <v>163</v>
      </c>
      <c r="U41" s="811">
        <v>72200000</v>
      </c>
      <c r="V41" s="803">
        <v>286582</v>
      </c>
      <c r="W41" s="827">
        <f t="shared" si="1"/>
        <v>-103913418</v>
      </c>
    </row>
    <row r="42" spans="2:23"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4">
        <f>185000000-185000000+185000000-2400000</f>
        <v>182600000</v>
      </c>
      <c r="R42" s="62"/>
      <c r="S42" s="63"/>
      <c r="T42" s="94" t="s">
        <v>401</v>
      </c>
      <c r="U42" s="811">
        <v>182600000</v>
      </c>
      <c r="V42" s="803"/>
      <c r="W42" s="827">
        <f t="shared" si="1"/>
        <v>-182600000</v>
      </c>
    </row>
    <row r="43" spans="2:23" ht="30" x14ac:dyDescent="0.2">
      <c r="B43" s="199" t="s">
        <v>7</v>
      </c>
      <c r="C43" s="199" t="s">
        <v>20</v>
      </c>
      <c r="D43" s="199" t="s">
        <v>20</v>
      </c>
      <c r="E43" s="199" t="s">
        <v>8</v>
      </c>
      <c r="F43" s="199" t="s">
        <v>11</v>
      </c>
      <c r="G43" s="199"/>
      <c r="H43" s="199"/>
      <c r="I43" s="199"/>
      <c r="J43" s="199"/>
      <c r="K43" s="329"/>
      <c r="L43" s="233" t="s">
        <v>54</v>
      </c>
      <c r="M43" s="41"/>
      <c r="N43" s="41"/>
      <c r="O43" s="42"/>
      <c r="P43" s="42"/>
      <c r="Q43" s="741">
        <f>+Q44+Q50+Q55+Q60+Q67</f>
        <v>289200000</v>
      </c>
      <c r="R43" s="211"/>
      <c r="S43" s="211"/>
      <c r="T43" s="682"/>
      <c r="U43" s="810"/>
      <c r="V43" s="800"/>
      <c r="W43" s="826"/>
    </row>
    <row r="44" spans="2:23" ht="30" x14ac:dyDescent="0.2">
      <c r="B44" s="45" t="s">
        <v>7</v>
      </c>
      <c r="C44" s="45" t="s">
        <v>20</v>
      </c>
      <c r="D44" s="45" t="s">
        <v>20</v>
      </c>
      <c r="E44" s="45" t="s">
        <v>8</v>
      </c>
      <c r="F44" s="45" t="s">
        <v>11</v>
      </c>
      <c r="G44" s="45" t="s">
        <v>10</v>
      </c>
      <c r="H44" s="45"/>
      <c r="I44" s="45"/>
      <c r="J44" s="45"/>
      <c r="K44" s="330"/>
      <c r="L44" s="234" t="s">
        <v>55</v>
      </c>
      <c r="M44" s="47"/>
      <c r="N44" s="47"/>
      <c r="O44" s="48"/>
      <c r="P44" s="48"/>
      <c r="Q44" s="742">
        <f>+Q45+Q48</f>
        <v>65000000</v>
      </c>
      <c r="R44" s="212"/>
      <c r="S44" s="212"/>
      <c r="T44" s="90"/>
      <c r="U44" s="810"/>
      <c r="V44" s="800"/>
      <c r="W44" s="826"/>
    </row>
    <row r="45" spans="2:23" x14ac:dyDescent="0.2">
      <c r="B45" s="51" t="s">
        <v>7</v>
      </c>
      <c r="C45" s="51" t="s">
        <v>20</v>
      </c>
      <c r="D45" s="51" t="s">
        <v>20</v>
      </c>
      <c r="E45" s="51" t="s">
        <v>8</v>
      </c>
      <c r="F45" s="51" t="s">
        <v>11</v>
      </c>
      <c r="G45" s="51" t="s">
        <v>10</v>
      </c>
      <c r="H45" s="51" t="s">
        <v>8</v>
      </c>
      <c r="I45" s="51"/>
      <c r="J45" s="51"/>
      <c r="K45" s="51"/>
      <c r="L45" s="235" t="s">
        <v>56</v>
      </c>
      <c r="M45" s="54"/>
      <c r="N45" s="54"/>
      <c r="O45" s="55"/>
      <c r="P45" s="55"/>
      <c r="Q45" s="743">
        <f>SUM(Q46:Q47)</f>
        <v>59500000</v>
      </c>
      <c r="R45" s="213"/>
      <c r="S45" s="213"/>
      <c r="T45" s="91"/>
      <c r="U45" s="810"/>
      <c r="V45" s="800"/>
      <c r="W45" s="826"/>
    </row>
    <row r="46" spans="2:23" ht="45" x14ac:dyDescent="0.2">
      <c r="B46" s="321"/>
      <c r="C46" s="93"/>
      <c r="D46" s="93"/>
      <c r="E46" s="93"/>
      <c r="F46" s="93"/>
      <c r="G46" s="93"/>
      <c r="H46" s="93"/>
      <c r="I46" s="93"/>
      <c r="J46" s="344"/>
      <c r="K46" s="706" t="s">
        <v>229</v>
      </c>
      <c r="L46" s="129" t="s">
        <v>310</v>
      </c>
      <c r="M46" s="59">
        <v>44972</v>
      </c>
      <c r="N46" s="59" t="s">
        <v>256</v>
      </c>
      <c r="O46" s="60" t="s">
        <v>305</v>
      </c>
      <c r="P46" s="60" t="s">
        <v>219</v>
      </c>
      <c r="Q46" s="744">
        <v>14500000</v>
      </c>
      <c r="R46" s="62"/>
      <c r="S46" s="63"/>
      <c r="T46" s="94" t="s">
        <v>163</v>
      </c>
      <c r="U46" s="811">
        <v>14500000</v>
      </c>
      <c r="V46" s="803">
        <v>14500000</v>
      </c>
      <c r="W46" s="827">
        <f t="shared" si="1"/>
        <v>0</v>
      </c>
    </row>
    <row r="47" spans="2:23"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4">
        <v>45000000</v>
      </c>
      <c r="R47" s="62"/>
      <c r="S47" s="63"/>
      <c r="T47" s="94" t="s">
        <v>167</v>
      </c>
      <c r="U47" s="811">
        <v>45000000</v>
      </c>
      <c r="V47" s="803">
        <v>45000000</v>
      </c>
      <c r="W47" s="827">
        <f t="shared" si="1"/>
        <v>0</v>
      </c>
    </row>
    <row r="48" spans="2:23" ht="30" x14ac:dyDescent="0.2">
      <c r="B48" s="51" t="s">
        <v>7</v>
      </c>
      <c r="C48" s="51" t="s">
        <v>20</v>
      </c>
      <c r="D48" s="51" t="s">
        <v>20</v>
      </c>
      <c r="E48" s="51" t="s">
        <v>8</v>
      </c>
      <c r="F48" s="51" t="s">
        <v>11</v>
      </c>
      <c r="G48" s="51" t="s">
        <v>10</v>
      </c>
      <c r="H48" s="51" t="s">
        <v>24</v>
      </c>
      <c r="I48" s="51"/>
      <c r="J48" s="51"/>
      <c r="K48" s="51"/>
      <c r="L48" s="235" t="s">
        <v>122</v>
      </c>
      <c r="M48" s="54"/>
      <c r="N48" s="54"/>
      <c r="O48" s="55"/>
      <c r="P48" s="55"/>
      <c r="Q48" s="743">
        <f>SUM(Q49:Q49)</f>
        <v>5500000</v>
      </c>
      <c r="R48" s="213"/>
      <c r="S48" s="213"/>
      <c r="T48" s="91"/>
      <c r="U48" s="810"/>
      <c r="V48" s="800"/>
      <c r="W48" s="826"/>
    </row>
    <row r="49" spans="2:23" x14ac:dyDescent="0.2">
      <c r="B49" s="321"/>
      <c r="C49" s="93"/>
      <c r="D49" s="93"/>
      <c r="E49" s="93"/>
      <c r="F49" s="93"/>
      <c r="G49" s="93"/>
      <c r="H49" s="93"/>
      <c r="I49" s="93"/>
      <c r="J49" s="344"/>
      <c r="K49" s="303"/>
      <c r="L49" s="58" t="s">
        <v>170</v>
      </c>
      <c r="M49" s="59" t="s">
        <v>231</v>
      </c>
      <c r="N49" s="59" t="s">
        <v>231</v>
      </c>
      <c r="O49" s="59" t="s">
        <v>231</v>
      </c>
      <c r="P49" s="59" t="s">
        <v>231</v>
      </c>
      <c r="Q49" s="744">
        <v>5500000</v>
      </c>
      <c r="R49" s="62"/>
      <c r="S49" s="63"/>
      <c r="T49" s="94" t="s">
        <v>106171</v>
      </c>
      <c r="U49" s="811">
        <f>1100000+508626+133660+124419+152459+165013</f>
        <v>2184177</v>
      </c>
      <c r="V49" s="803">
        <v>2184177</v>
      </c>
      <c r="W49" s="827">
        <f t="shared" si="1"/>
        <v>-3315823</v>
      </c>
    </row>
    <row r="50" spans="2:23" ht="30" x14ac:dyDescent="0.2">
      <c r="B50" s="45" t="s">
        <v>7</v>
      </c>
      <c r="C50" s="45" t="s">
        <v>20</v>
      </c>
      <c r="D50" s="45" t="s">
        <v>20</v>
      </c>
      <c r="E50" s="45" t="s">
        <v>8</v>
      </c>
      <c r="F50" s="45" t="s">
        <v>11</v>
      </c>
      <c r="G50" s="45" t="s">
        <v>11</v>
      </c>
      <c r="H50" s="45"/>
      <c r="I50" s="45"/>
      <c r="J50" s="45"/>
      <c r="K50" s="330"/>
      <c r="L50" s="234" t="s">
        <v>57</v>
      </c>
      <c r="M50" s="47"/>
      <c r="N50" s="47"/>
      <c r="O50" s="48"/>
      <c r="P50" s="48"/>
      <c r="Q50" s="742">
        <f>+Q51+Q53</f>
        <v>46000000</v>
      </c>
      <c r="R50" s="212"/>
      <c r="S50" s="212"/>
      <c r="T50" s="90"/>
      <c r="U50" s="810"/>
      <c r="V50" s="800"/>
      <c r="W50" s="826"/>
    </row>
    <row r="51" spans="2:23" ht="60" x14ac:dyDescent="0.2">
      <c r="B51" s="51" t="s">
        <v>7</v>
      </c>
      <c r="C51" s="51" t="s">
        <v>20</v>
      </c>
      <c r="D51" s="51" t="s">
        <v>20</v>
      </c>
      <c r="E51" s="51" t="s">
        <v>8</v>
      </c>
      <c r="F51" s="51" t="s">
        <v>11</v>
      </c>
      <c r="G51" s="51" t="s">
        <v>11</v>
      </c>
      <c r="H51" s="51" t="s">
        <v>23</v>
      </c>
      <c r="I51" s="51"/>
      <c r="J51" s="51"/>
      <c r="K51" s="51"/>
      <c r="L51" s="235" t="s">
        <v>171</v>
      </c>
      <c r="M51" s="54"/>
      <c r="N51" s="54"/>
      <c r="O51" s="55"/>
      <c r="P51" s="55"/>
      <c r="Q51" s="743">
        <f>+Q52</f>
        <v>6000000</v>
      </c>
      <c r="R51" s="213"/>
      <c r="S51" s="213"/>
      <c r="T51" s="91"/>
      <c r="U51" s="810"/>
      <c r="V51" s="800"/>
      <c r="W51" s="826"/>
    </row>
    <row r="52" spans="2:23" ht="30" x14ac:dyDescent="0.2">
      <c r="B52" s="321"/>
      <c r="C52" s="93"/>
      <c r="D52" s="93"/>
      <c r="E52" s="93"/>
      <c r="F52" s="93"/>
      <c r="G52" s="93"/>
      <c r="H52" s="93"/>
      <c r="I52" s="93"/>
      <c r="J52" s="344"/>
      <c r="K52" s="328">
        <v>15121500</v>
      </c>
      <c r="L52" s="58" t="s">
        <v>357</v>
      </c>
      <c r="M52" s="59">
        <v>44961</v>
      </c>
      <c r="N52" s="59" t="s">
        <v>256</v>
      </c>
      <c r="O52" s="60" t="s">
        <v>319</v>
      </c>
      <c r="P52" s="60" t="s">
        <v>471</v>
      </c>
      <c r="Q52" s="744">
        <v>6000000</v>
      </c>
      <c r="R52" s="62"/>
      <c r="S52" s="63"/>
      <c r="T52" s="94" t="s">
        <v>358</v>
      </c>
      <c r="U52" s="811">
        <v>4000000</v>
      </c>
      <c r="V52" s="803">
        <v>4000000</v>
      </c>
      <c r="W52" s="827">
        <f t="shared" si="1"/>
        <v>-2000000</v>
      </c>
    </row>
    <row r="53" spans="2:23" ht="30" x14ac:dyDescent="0.2">
      <c r="B53" s="51" t="s">
        <v>7</v>
      </c>
      <c r="C53" s="51" t="s">
        <v>20</v>
      </c>
      <c r="D53" s="51" t="s">
        <v>20</v>
      </c>
      <c r="E53" s="51" t="s">
        <v>8</v>
      </c>
      <c r="F53" s="51" t="s">
        <v>11</v>
      </c>
      <c r="G53" s="51" t="s">
        <v>11</v>
      </c>
      <c r="H53" s="51" t="s">
        <v>24</v>
      </c>
      <c r="I53" s="51"/>
      <c r="J53" s="51"/>
      <c r="K53" s="51"/>
      <c r="L53" s="235" t="s">
        <v>58</v>
      </c>
      <c r="M53" s="54"/>
      <c r="N53" s="54"/>
      <c r="O53" s="55"/>
      <c r="P53" s="55"/>
      <c r="Q53" s="743">
        <f>+Q54</f>
        <v>40000000</v>
      </c>
      <c r="R53" s="213"/>
      <c r="S53" s="213"/>
      <c r="T53" s="91"/>
      <c r="U53" s="810"/>
      <c r="V53" s="800"/>
      <c r="W53" s="826"/>
    </row>
    <row r="54" spans="2:23" ht="30" x14ac:dyDescent="0.2">
      <c r="B54" s="321"/>
      <c r="C54" s="93"/>
      <c r="D54" s="93"/>
      <c r="E54" s="93"/>
      <c r="F54" s="93"/>
      <c r="G54" s="93"/>
      <c r="H54" s="93"/>
      <c r="I54" s="93"/>
      <c r="J54" s="344"/>
      <c r="K54" s="328">
        <v>15121500</v>
      </c>
      <c r="L54" s="100" t="s">
        <v>359</v>
      </c>
      <c r="M54" s="59">
        <v>44576</v>
      </c>
      <c r="N54" s="59" t="s">
        <v>259</v>
      </c>
      <c r="O54" s="60" t="s">
        <v>343</v>
      </c>
      <c r="P54" s="60" t="s">
        <v>426</v>
      </c>
      <c r="Q54" s="744">
        <v>40000000</v>
      </c>
      <c r="R54" s="62"/>
      <c r="S54" s="63"/>
      <c r="T54" s="94" t="s">
        <v>358</v>
      </c>
      <c r="U54" s="811">
        <v>40000000</v>
      </c>
      <c r="V54" s="803">
        <v>40000000</v>
      </c>
      <c r="W54" s="827">
        <f t="shared" si="1"/>
        <v>0</v>
      </c>
    </row>
    <row r="55" spans="2:23" ht="30" x14ac:dyDescent="0.2">
      <c r="B55" s="45" t="s">
        <v>7</v>
      </c>
      <c r="C55" s="45" t="s">
        <v>20</v>
      </c>
      <c r="D55" s="45" t="s">
        <v>20</v>
      </c>
      <c r="E55" s="45" t="s">
        <v>8</v>
      </c>
      <c r="F55" s="45" t="s">
        <v>11</v>
      </c>
      <c r="G55" s="45" t="s">
        <v>13</v>
      </c>
      <c r="H55" s="45"/>
      <c r="I55" s="45"/>
      <c r="J55" s="45"/>
      <c r="K55" s="330"/>
      <c r="L55" s="234" t="s">
        <v>59</v>
      </c>
      <c r="M55" s="47"/>
      <c r="N55" s="47"/>
      <c r="O55" s="48"/>
      <c r="P55" s="48"/>
      <c r="Q55" s="742">
        <f>+Q56+Q58</f>
        <v>83000000</v>
      </c>
      <c r="R55" s="212"/>
      <c r="S55" s="212"/>
      <c r="T55" s="90"/>
      <c r="U55" s="810"/>
      <c r="V55" s="800"/>
      <c r="W55" s="826"/>
    </row>
    <row r="56" spans="2:23" ht="30" x14ac:dyDescent="0.2">
      <c r="B56" s="51" t="s">
        <v>7</v>
      </c>
      <c r="C56" s="51" t="s">
        <v>20</v>
      </c>
      <c r="D56" s="51" t="s">
        <v>20</v>
      </c>
      <c r="E56" s="51" t="s">
        <v>8</v>
      </c>
      <c r="F56" s="51" t="s">
        <v>11</v>
      </c>
      <c r="G56" s="51" t="s">
        <v>13</v>
      </c>
      <c r="H56" s="52" t="s">
        <v>8</v>
      </c>
      <c r="I56" s="51"/>
      <c r="J56" s="51"/>
      <c r="K56" s="51"/>
      <c r="L56" s="235" t="s">
        <v>106135</v>
      </c>
      <c r="M56" s="54"/>
      <c r="N56" s="54"/>
      <c r="O56" s="55"/>
      <c r="P56" s="55"/>
      <c r="Q56" s="743">
        <f>+Q57</f>
        <v>65000000</v>
      </c>
      <c r="R56" s="213"/>
      <c r="S56" s="213"/>
      <c r="T56" s="91"/>
      <c r="U56" s="810"/>
      <c r="V56" s="800"/>
      <c r="W56" s="826"/>
    </row>
    <row r="57" spans="2:23" x14ac:dyDescent="0.2">
      <c r="B57" s="321"/>
      <c r="C57" s="93"/>
      <c r="D57" s="93"/>
      <c r="E57" s="93"/>
      <c r="F57" s="93"/>
      <c r="G57" s="93"/>
      <c r="H57" s="93"/>
      <c r="I57" s="93"/>
      <c r="J57" s="344"/>
      <c r="K57" s="706">
        <v>44103100</v>
      </c>
      <c r="L57" s="58" t="s">
        <v>106097</v>
      </c>
      <c r="M57" s="59">
        <v>44958</v>
      </c>
      <c r="N57" s="59" t="s">
        <v>256</v>
      </c>
      <c r="O57" s="60" t="s">
        <v>338</v>
      </c>
      <c r="P57" s="60" t="s">
        <v>236</v>
      </c>
      <c r="Q57" s="746">
        <v>65000000</v>
      </c>
      <c r="R57" s="62"/>
      <c r="S57" s="63"/>
      <c r="T57" s="94" t="s">
        <v>156</v>
      </c>
      <c r="U57" s="811">
        <v>65000000</v>
      </c>
      <c r="V57" s="803">
        <v>65000000</v>
      </c>
      <c r="W57" s="827">
        <f t="shared" si="1"/>
        <v>0</v>
      </c>
    </row>
    <row r="58" spans="2:23" ht="30" x14ac:dyDescent="0.2">
      <c r="B58" s="51" t="s">
        <v>7</v>
      </c>
      <c r="C58" s="51" t="s">
        <v>20</v>
      </c>
      <c r="D58" s="51" t="s">
        <v>20</v>
      </c>
      <c r="E58" s="51" t="s">
        <v>8</v>
      </c>
      <c r="F58" s="51" t="s">
        <v>11</v>
      </c>
      <c r="G58" s="51" t="s">
        <v>13</v>
      </c>
      <c r="H58" s="51" t="s">
        <v>23</v>
      </c>
      <c r="I58" s="51"/>
      <c r="J58" s="51"/>
      <c r="K58" s="51"/>
      <c r="L58" s="235" t="s">
        <v>60</v>
      </c>
      <c r="M58" s="54"/>
      <c r="N58" s="54"/>
      <c r="O58" s="55"/>
      <c r="P58" s="55"/>
      <c r="Q58" s="743">
        <f>+Q59</f>
        <v>18000000</v>
      </c>
      <c r="R58" s="213"/>
      <c r="S58" s="213"/>
      <c r="T58" s="91"/>
      <c r="U58" s="810"/>
      <c r="V58" s="800"/>
      <c r="W58" s="826"/>
    </row>
    <row r="59" spans="2:23" ht="30" x14ac:dyDescent="0.2">
      <c r="B59" s="321"/>
      <c r="C59" s="93"/>
      <c r="D59" s="93"/>
      <c r="E59" s="93"/>
      <c r="F59" s="93"/>
      <c r="G59" s="93"/>
      <c r="H59" s="93"/>
      <c r="I59" s="93"/>
      <c r="J59" s="344"/>
      <c r="K59" s="706" t="s">
        <v>233</v>
      </c>
      <c r="L59" s="58" t="s">
        <v>311</v>
      </c>
      <c r="M59" s="59">
        <v>44972</v>
      </c>
      <c r="N59" s="59" t="s">
        <v>256</v>
      </c>
      <c r="O59" s="60" t="s">
        <v>305</v>
      </c>
      <c r="P59" s="60" t="s">
        <v>219</v>
      </c>
      <c r="Q59" s="744">
        <v>18000000</v>
      </c>
      <c r="R59" s="62"/>
      <c r="S59" s="63"/>
      <c r="T59" s="94" t="s">
        <v>163</v>
      </c>
      <c r="U59" s="811">
        <v>18000000</v>
      </c>
      <c r="V59" s="803">
        <v>18000000</v>
      </c>
      <c r="W59" s="827">
        <f t="shared" si="1"/>
        <v>0</v>
      </c>
    </row>
    <row r="60" spans="2:23" x14ac:dyDescent="0.2">
      <c r="B60" s="45" t="s">
        <v>7</v>
      </c>
      <c r="C60" s="45" t="s">
        <v>20</v>
      </c>
      <c r="D60" s="45" t="s">
        <v>20</v>
      </c>
      <c r="E60" s="45" t="s">
        <v>8</v>
      </c>
      <c r="F60" s="45" t="s">
        <v>11</v>
      </c>
      <c r="G60" s="45" t="s">
        <v>14</v>
      </c>
      <c r="H60" s="45"/>
      <c r="I60" s="45"/>
      <c r="J60" s="45"/>
      <c r="K60" s="330"/>
      <c r="L60" s="234" t="s">
        <v>61</v>
      </c>
      <c r="M60" s="47"/>
      <c r="N60" s="47"/>
      <c r="O60" s="48"/>
      <c r="P60" s="48"/>
      <c r="Q60" s="742">
        <f>+Q61+Q63+Q65</f>
        <v>65400000</v>
      </c>
      <c r="R60" s="212"/>
      <c r="S60" s="212"/>
      <c r="T60" s="90"/>
      <c r="U60" s="810"/>
      <c r="V60" s="800"/>
      <c r="W60" s="826"/>
    </row>
    <row r="61" spans="2:23" x14ac:dyDescent="0.2">
      <c r="B61" s="51" t="s">
        <v>7</v>
      </c>
      <c r="C61" s="51" t="s">
        <v>20</v>
      </c>
      <c r="D61" s="51" t="s">
        <v>20</v>
      </c>
      <c r="E61" s="51" t="s">
        <v>8</v>
      </c>
      <c r="F61" s="51" t="s">
        <v>11</v>
      </c>
      <c r="G61" s="51" t="s">
        <v>14</v>
      </c>
      <c r="H61" s="51" t="s">
        <v>8</v>
      </c>
      <c r="I61" s="51"/>
      <c r="J61" s="51"/>
      <c r="K61" s="51"/>
      <c r="L61" s="235" t="s">
        <v>62</v>
      </c>
      <c r="M61" s="54"/>
      <c r="N61" s="54"/>
      <c r="O61" s="55"/>
      <c r="P61" s="55"/>
      <c r="Q61" s="743">
        <f>+Q62</f>
        <v>10000000</v>
      </c>
      <c r="R61" s="213"/>
      <c r="S61" s="213"/>
      <c r="T61" s="91"/>
      <c r="U61" s="810"/>
      <c r="V61" s="800"/>
      <c r="W61" s="826"/>
    </row>
    <row r="62" spans="2:23" ht="30" x14ac:dyDescent="0.2">
      <c r="B62" s="321"/>
      <c r="C62" s="93"/>
      <c r="D62" s="93"/>
      <c r="E62" s="93"/>
      <c r="F62" s="93"/>
      <c r="G62" s="93"/>
      <c r="H62" s="93"/>
      <c r="I62" s="93"/>
      <c r="J62" s="344"/>
      <c r="K62" s="328">
        <v>25172500</v>
      </c>
      <c r="L62" s="58" t="s">
        <v>360</v>
      </c>
      <c r="M62" s="59">
        <v>45087</v>
      </c>
      <c r="N62" s="59" t="s">
        <v>367</v>
      </c>
      <c r="O62" s="60" t="s">
        <v>362</v>
      </c>
      <c r="P62" s="60" t="s">
        <v>106190</v>
      </c>
      <c r="Q62" s="744">
        <v>10000000</v>
      </c>
      <c r="R62" s="62"/>
      <c r="S62" s="63"/>
      <c r="T62" s="94" t="s">
        <v>358</v>
      </c>
      <c r="U62" s="811"/>
      <c r="V62" s="803"/>
      <c r="W62" s="827">
        <f t="shared" si="1"/>
        <v>-10000000</v>
      </c>
    </row>
    <row r="63" spans="2:23" x14ac:dyDescent="0.2">
      <c r="B63" s="51" t="s">
        <v>7</v>
      </c>
      <c r="C63" s="51" t="s">
        <v>20</v>
      </c>
      <c r="D63" s="51" t="s">
        <v>20</v>
      </c>
      <c r="E63" s="51" t="s">
        <v>8</v>
      </c>
      <c r="F63" s="51" t="s">
        <v>11</v>
      </c>
      <c r="G63" s="51" t="s">
        <v>14</v>
      </c>
      <c r="H63" s="51" t="s">
        <v>20</v>
      </c>
      <c r="I63" s="51"/>
      <c r="J63" s="51"/>
      <c r="K63" s="51"/>
      <c r="L63" s="235" t="s">
        <v>63</v>
      </c>
      <c r="M63" s="54"/>
      <c r="N63" s="54"/>
      <c r="O63" s="55"/>
      <c r="P63" s="55"/>
      <c r="Q63" s="743">
        <f>+Q64</f>
        <v>45400000</v>
      </c>
      <c r="R63" s="213"/>
      <c r="S63" s="213"/>
      <c r="T63" s="91"/>
      <c r="U63" s="810"/>
      <c r="V63" s="800"/>
      <c r="W63" s="826"/>
    </row>
    <row r="64" spans="2:23" ht="35.25" customHeight="1" x14ac:dyDescent="0.2">
      <c r="B64" s="321"/>
      <c r="C64" s="93"/>
      <c r="D64" s="93"/>
      <c r="E64" s="93"/>
      <c r="F64" s="93"/>
      <c r="G64" s="93"/>
      <c r="H64" s="93"/>
      <c r="I64" s="93"/>
      <c r="J64" s="344"/>
      <c r="K64" s="709" t="s">
        <v>324</v>
      </c>
      <c r="L64" s="575" t="s">
        <v>194</v>
      </c>
      <c r="M64" s="2">
        <v>45047</v>
      </c>
      <c r="N64" s="2" t="s">
        <v>325</v>
      </c>
      <c r="O64" s="3" t="s">
        <v>329</v>
      </c>
      <c r="P64" s="60" t="s">
        <v>425</v>
      </c>
      <c r="Q64" s="744">
        <f>77000000-31600000</f>
        <v>45400000</v>
      </c>
      <c r="R64" s="62"/>
      <c r="S64" s="63"/>
      <c r="T64" s="94" t="s">
        <v>401</v>
      </c>
      <c r="U64" s="811">
        <v>45400000</v>
      </c>
      <c r="V64" s="803"/>
      <c r="W64" s="827">
        <f t="shared" si="1"/>
        <v>-45400000</v>
      </c>
    </row>
    <row r="65" spans="1:23" x14ac:dyDescent="0.2">
      <c r="B65" s="51" t="s">
        <v>7</v>
      </c>
      <c r="C65" s="51" t="s">
        <v>20</v>
      </c>
      <c r="D65" s="51" t="s">
        <v>20</v>
      </c>
      <c r="E65" s="51" t="s">
        <v>8</v>
      </c>
      <c r="F65" s="51" t="s">
        <v>11</v>
      </c>
      <c r="G65" s="51" t="s">
        <v>14</v>
      </c>
      <c r="H65" s="51" t="s">
        <v>31</v>
      </c>
      <c r="I65" s="51"/>
      <c r="J65" s="51"/>
      <c r="K65" s="77"/>
      <c r="L65" s="236" t="s">
        <v>249</v>
      </c>
      <c r="M65" s="79"/>
      <c r="N65" s="79"/>
      <c r="O65" s="80"/>
      <c r="P65" s="80"/>
      <c r="Q65" s="745">
        <f>+Q66</f>
        <v>10000000</v>
      </c>
      <c r="R65" s="214"/>
      <c r="S65" s="214"/>
      <c r="T65" s="685"/>
      <c r="U65" s="810"/>
      <c r="V65" s="800"/>
      <c r="W65" s="826"/>
    </row>
    <row r="66" spans="1:23"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4">
        <v>10000000</v>
      </c>
      <c r="R66" s="62"/>
      <c r="S66" s="63"/>
      <c r="T66" s="94" t="s">
        <v>163</v>
      </c>
      <c r="U66" s="811">
        <v>10000000</v>
      </c>
      <c r="V66" s="803">
        <v>10000000</v>
      </c>
      <c r="W66" s="827">
        <f t="shared" si="1"/>
        <v>0</v>
      </c>
    </row>
    <row r="67" spans="1:23" x14ac:dyDescent="0.2">
      <c r="B67" s="45" t="s">
        <v>7</v>
      </c>
      <c r="C67" s="45" t="s">
        <v>20</v>
      </c>
      <c r="D67" s="45" t="s">
        <v>20</v>
      </c>
      <c r="E67" s="45" t="s">
        <v>8</v>
      </c>
      <c r="F67" s="45" t="s">
        <v>11</v>
      </c>
      <c r="G67" s="45" t="s">
        <v>16</v>
      </c>
      <c r="H67" s="45"/>
      <c r="I67" s="45"/>
      <c r="J67" s="45"/>
      <c r="K67" s="330"/>
      <c r="L67" s="234" t="s">
        <v>159</v>
      </c>
      <c r="M67" s="47"/>
      <c r="N67" s="47"/>
      <c r="O67" s="48"/>
      <c r="P67" s="48"/>
      <c r="Q67" s="742">
        <f>+Q68</f>
        <v>29800000</v>
      </c>
      <c r="R67" s="212"/>
      <c r="S67" s="212"/>
      <c r="T67" s="90"/>
      <c r="U67" s="810"/>
      <c r="V67" s="800"/>
      <c r="W67" s="826"/>
    </row>
    <row r="68" spans="1:23" x14ac:dyDescent="0.2">
      <c r="B68" s="77" t="s">
        <v>7</v>
      </c>
      <c r="C68" s="77" t="s">
        <v>20</v>
      </c>
      <c r="D68" s="77" t="s">
        <v>20</v>
      </c>
      <c r="E68" s="77" t="s">
        <v>8</v>
      </c>
      <c r="F68" s="77" t="s">
        <v>11</v>
      </c>
      <c r="G68" s="51" t="s">
        <v>16</v>
      </c>
      <c r="H68" s="51" t="s">
        <v>31</v>
      </c>
      <c r="I68" s="77"/>
      <c r="J68" s="77"/>
      <c r="K68" s="331"/>
      <c r="L68" s="236" t="s">
        <v>160</v>
      </c>
      <c r="M68" s="79"/>
      <c r="N68" s="79"/>
      <c r="O68" s="80"/>
      <c r="P68" s="80"/>
      <c r="Q68" s="745">
        <f>+Q69</f>
        <v>29800000</v>
      </c>
      <c r="R68" s="214"/>
      <c r="S68" s="214"/>
      <c r="T68" s="685"/>
      <c r="U68" s="810"/>
      <c r="V68" s="800"/>
      <c r="W68" s="826"/>
    </row>
    <row r="69" spans="1:23" s="350" customFormat="1" x14ac:dyDescent="0.25">
      <c r="B69" s="321"/>
      <c r="C69" s="93"/>
      <c r="D69" s="93"/>
      <c r="E69" s="93"/>
      <c r="F69" s="93"/>
      <c r="G69" s="93"/>
      <c r="H69" s="93"/>
      <c r="I69" s="93"/>
      <c r="J69" s="344"/>
      <c r="K69" s="303"/>
      <c r="L69" s="58" t="s">
        <v>191</v>
      </c>
      <c r="M69" s="59" t="s">
        <v>231</v>
      </c>
      <c r="N69" s="59" t="s">
        <v>231</v>
      </c>
      <c r="O69" s="59" t="s">
        <v>231</v>
      </c>
      <c r="P69" s="59" t="s">
        <v>231</v>
      </c>
      <c r="Q69" s="744">
        <v>29800000</v>
      </c>
      <c r="R69" s="62"/>
      <c r="S69" s="64"/>
      <c r="T69" s="94" t="s">
        <v>106171</v>
      </c>
      <c r="U69" s="811">
        <v>12667567.380000001</v>
      </c>
      <c r="V69" s="803">
        <v>12667567.380000001</v>
      </c>
      <c r="W69" s="827">
        <f t="shared" si="1"/>
        <v>-17132432.619999997</v>
      </c>
    </row>
    <row r="70" spans="1:23" x14ac:dyDescent="0.2">
      <c r="B70" s="199" t="s">
        <v>7</v>
      </c>
      <c r="C70" s="199" t="s">
        <v>20</v>
      </c>
      <c r="D70" s="199" t="s">
        <v>20</v>
      </c>
      <c r="E70" s="199" t="s">
        <v>8</v>
      </c>
      <c r="F70" s="199" t="s">
        <v>12</v>
      </c>
      <c r="G70" s="199"/>
      <c r="H70" s="199"/>
      <c r="I70" s="199"/>
      <c r="J70" s="199"/>
      <c r="K70" s="329"/>
      <c r="L70" s="233" t="s">
        <v>67</v>
      </c>
      <c r="M70" s="41"/>
      <c r="N70" s="41"/>
      <c r="O70" s="42"/>
      <c r="P70" s="42"/>
      <c r="Q70" s="741">
        <f>+Q71+Q74+Q78+Q85</f>
        <v>271228063.36000001</v>
      </c>
      <c r="R70" s="211"/>
      <c r="S70" s="211"/>
      <c r="T70" s="682"/>
      <c r="U70" s="810"/>
      <c r="V70" s="800"/>
      <c r="W70" s="826"/>
    </row>
    <row r="71" spans="1:23" x14ac:dyDescent="0.2">
      <c r="B71" s="45" t="s">
        <v>7</v>
      </c>
      <c r="C71" s="45" t="s">
        <v>20</v>
      </c>
      <c r="D71" s="45" t="s">
        <v>20</v>
      </c>
      <c r="E71" s="45" t="s">
        <v>8</v>
      </c>
      <c r="F71" s="45" t="s">
        <v>12</v>
      </c>
      <c r="G71" s="45" t="s">
        <v>12</v>
      </c>
      <c r="H71" s="45"/>
      <c r="I71" s="45"/>
      <c r="J71" s="45"/>
      <c r="K71" s="330"/>
      <c r="L71" s="234" t="s">
        <v>36</v>
      </c>
      <c r="M71" s="47"/>
      <c r="N71" s="47"/>
      <c r="O71" s="48"/>
      <c r="P71" s="48"/>
      <c r="Q71" s="742">
        <f>+Q72</f>
        <v>20000000</v>
      </c>
      <c r="R71" s="212"/>
      <c r="S71" s="212"/>
      <c r="T71" s="90"/>
      <c r="U71" s="810"/>
      <c r="V71" s="800"/>
      <c r="W71" s="826"/>
    </row>
    <row r="72" spans="1:23" x14ac:dyDescent="0.2">
      <c r="B72" s="51" t="s">
        <v>7</v>
      </c>
      <c r="C72" s="51" t="s">
        <v>20</v>
      </c>
      <c r="D72" s="51" t="s">
        <v>20</v>
      </c>
      <c r="E72" s="51" t="s">
        <v>8</v>
      </c>
      <c r="F72" s="51" t="s">
        <v>12</v>
      </c>
      <c r="G72" s="51" t="s">
        <v>12</v>
      </c>
      <c r="H72" s="51" t="s">
        <v>31</v>
      </c>
      <c r="I72" s="51"/>
      <c r="J72" s="51"/>
      <c r="K72" s="51"/>
      <c r="L72" s="235" t="s">
        <v>38</v>
      </c>
      <c r="M72" s="54"/>
      <c r="N72" s="54"/>
      <c r="O72" s="55"/>
      <c r="P72" s="55"/>
      <c r="Q72" s="743">
        <f>+Q73</f>
        <v>20000000</v>
      </c>
      <c r="R72" s="213"/>
      <c r="S72" s="213"/>
      <c r="T72" s="91"/>
      <c r="U72" s="810"/>
      <c r="V72" s="800"/>
      <c r="W72" s="826"/>
    </row>
    <row r="73" spans="1:23" ht="34.5" customHeight="1" x14ac:dyDescent="0.2">
      <c r="B73" s="321"/>
      <c r="C73" s="93"/>
      <c r="D73" s="93"/>
      <c r="E73" s="93"/>
      <c r="F73" s="93"/>
      <c r="G73" s="93"/>
      <c r="H73" s="93"/>
      <c r="I73" s="93"/>
      <c r="J73" s="344"/>
      <c r="K73" s="706" t="s">
        <v>106028</v>
      </c>
      <c r="L73" s="58" t="s">
        <v>472</v>
      </c>
      <c r="M73" s="59">
        <v>44970</v>
      </c>
      <c r="N73" s="59" t="s">
        <v>256</v>
      </c>
      <c r="O73" s="60" t="s">
        <v>106140</v>
      </c>
      <c r="P73" s="60" t="s">
        <v>426</v>
      </c>
      <c r="Q73" s="744">
        <v>20000000</v>
      </c>
      <c r="R73" s="62"/>
      <c r="S73" s="63"/>
      <c r="T73" s="94" t="s">
        <v>401</v>
      </c>
      <c r="U73" s="811">
        <v>20000000</v>
      </c>
      <c r="V73" s="803">
        <v>11623798</v>
      </c>
      <c r="W73" s="827">
        <f t="shared" si="1"/>
        <v>-8376202</v>
      </c>
    </row>
    <row r="74" spans="1:23" x14ac:dyDescent="0.2">
      <c r="B74" s="45" t="s">
        <v>7</v>
      </c>
      <c r="C74" s="45" t="s">
        <v>20</v>
      </c>
      <c r="D74" s="45" t="s">
        <v>20</v>
      </c>
      <c r="E74" s="45" t="s">
        <v>8</v>
      </c>
      <c r="F74" s="45" t="s">
        <v>12</v>
      </c>
      <c r="G74" s="45" t="s">
        <v>13</v>
      </c>
      <c r="H74" s="45"/>
      <c r="I74" s="45"/>
      <c r="J74" s="45"/>
      <c r="K74" s="330"/>
      <c r="L74" s="234" t="s">
        <v>39</v>
      </c>
      <c r="M74" s="47"/>
      <c r="N74" s="47"/>
      <c r="O74" s="48"/>
      <c r="P74" s="48"/>
      <c r="Q74" s="742">
        <f>+Q75</f>
        <v>2483187.5</v>
      </c>
      <c r="R74" s="212"/>
      <c r="S74" s="212"/>
      <c r="T74" s="90"/>
      <c r="U74" s="810"/>
      <c r="V74" s="800"/>
      <c r="W74" s="826"/>
    </row>
    <row r="75" spans="1:23" ht="30" x14ac:dyDescent="0.2">
      <c r="B75" s="51" t="s">
        <v>7</v>
      </c>
      <c r="C75" s="51" t="s">
        <v>20</v>
      </c>
      <c r="D75" s="51" t="s">
        <v>20</v>
      </c>
      <c r="E75" s="51" t="s">
        <v>8</v>
      </c>
      <c r="F75" s="51" t="s">
        <v>12</v>
      </c>
      <c r="G75" s="51" t="s">
        <v>13</v>
      </c>
      <c r="H75" s="51" t="s">
        <v>8</v>
      </c>
      <c r="I75" s="51"/>
      <c r="J75" s="51"/>
      <c r="K75" s="51"/>
      <c r="L75" s="235" t="s">
        <v>40</v>
      </c>
      <c r="M75" s="54"/>
      <c r="N75" s="54"/>
      <c r="O75" s="55"/>
      <c r="P75" s="55"/>
      <c r="Q75" s="743">
        <f>SUM(Q76:Q77)</f>
        <v>2483187.5</v>
      </c>
      <c r="R75" s="213"/>
      <c r="S75" s="213"/>
      <c r="T75" s="91"/>
      <c r="U75" s="810"/>
      <c r="V75" s="800"/>
      <c r="W75" s="826"/>
    </row>
    <row r="76" spans="1:23"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4">
        <f>4800000-2316812.5</f>
        <v>2483187.5</v>
      </c>
      <c r="R76" s="62"/>
      <c r="S76" s="63"/>
      <c r="T76" s="94" t="s">
        <v>156</v>
      </c>
      <c r="U76" s="811">
        <v>2483187.5</v>
      </c>
      <c r="V76" s="803">
        <v>2483187.5</v>
      </c>
      <c r="W76" s="827">
        <f t="shared" si="1"/>
        <v>0</v>
      </c>
    </row>
    <row r="77" spans="1:23" ht="36" customHeight="1" x14ac:dyDescent="0.2">
      <c r="B77" s="321"/>
      <c r="C77" s="93"/>
      <c r="D77" s="93"/>
      <c r="E77" s="93"/>
      <c r="F77" s="93"/>
      <c r="G77" s="93"/>
      <c r="H77" s="93"/>
      <c r="I77" s="93"/>
      <c r="J77" s="344"/>
      <c r="K77" s="706">
        <v>43233200</v>
      </c>
      <c r="L77" s="58" t="s">
        <v>106189</v>
      </c>
      <c r="M77" s="59">
        <v>44941</v>
      </c>
      <c r="N77" s="59" t="s">
        <v>259</v>
      </c>
      <c r="O77" s="60" t="s">
        <v>234</v>
      </c>
      <c r="P77" s="60" t="s">
        <v>221</v>
      </c>
      <c r="Q77" s="744">
        <f>31000000+2772000-33000000+16643313.36-17415313.36</f>
        <v>0</v>
      </c>
      <c r="R77" s="62"/>
      <c r="S77" s="63"/>
      <c r="T77" s="94" t="s">
        <v>263</v>
      </c>
      <c r="U77" s="811"/>
      <c r="V77" s="803"/>
      <c r="W77" s="827">
        <f t="shared" si="1"/>
        <v>0</v>
      </c>
    </row>
    <row r="78" spans="1:23" x14ac:dyDescent="0.2">
      <c r="B78" s="45" t="s">
        <v>7</v>
      </c>
      <c r="C78" s="45" t="s">
        <v>20</v>
      </c>
      <c r="D78" s="45" t="s">
        <v>20</v>
      </c>
      <c r="E78" s="45" t="s">
        <v>8</v>
      </c>
      <c r="F78" s="45" t="s">
        <v>12</v>
      </c>
      <c r="G78" s="45" t="s">
        <v>15</v>
      </c>
      <c r="H78" s="45"/>
      <c r="I78" s="45"/>
      <c r="J78" s="45"/>
      <c r="K78" s="330"/>
      <c r="L78" s="234" t="s">
        <v>499</v>
      </c>
      <c r="M78" s="47"/>
      <c r="N78" s="47"/>
      <c r="O78" s="48"/>
      <c r="P78" s="48"/>
      <c r="Q78" s="742">
        <f>+Q79</f>
        <v>239744875.86000001</v>
      </c>
      <c r="R78" s="212"/>
      <c r="S78" s="212"/>
      <c r="T78" s="90"/>
      <c r="U78" s="810"/>
      <c r="V78" s="800"/>
      <c r="W78" s="826"/>
    </row>
    <row r="79" spans="1:23" x14ac:dyDescent="0.2">
      <c r="B79" s="51" t="s">
        <v>7</v>
      </c>
      <c r="C79" s="51" t="s">
        <v>20</v>
      </c>
      <c r="D79" s="51" t="s">
        <v>20</v>
      </c>
      <c r="E79" s="51" t="s">
        <v>8</v>
      </c>
      <c r="F79" s="51" t="s">
        <v>12</v>
      </c>
      <c r="G79" s="51" t="s">
        <v>15</v>
      </c>
      <c r="H79" s="51" t="s">
        <v>30</v>
      </c>
      <c r="I79" s="51"/>
      <c r="J79" s="51"/>
      <c r="K79" s="51"/>
      <c r="L79" s="235" t="s">
        <v>45</v>
      </c>
      <c r="M79" s="54"/>
      <c r="N79" s="54"/>
      <c r="O79" s="55"/>
      <c r="P79" s="55"/>
      <c r="Q79" s="743">
        <f>SUM(Q80:Q84)</f>
        <v>239744875.86000001</v>
      </c>
      <c r="R79" s="213"/>
      <c r="S79" s="213"/>
      <c r="T79" s="91"/>
      <c r="U79" s="810"/>
      <c r="V79" s="800"/>
      <c r="W79" s="826"/>
    </row>
    <row r="80" spans="1:23" ht="30" x14ac:dyDescent="0.2">
      <c r="A80" s="710"/>
      <c r="B80" s="321"/>
      <c r="C80" s="93"/>
      <c r="D80" s="93"/>
      <c r="E80" s="93"/>
      <c r="F80" s="93"/>
      <c r="G80" s="93"/>
      <c r="H80" s="93"/>
      <c r="I80" s="93"/>
      <c r="J80" s="344"/>
      <c r="K80" s="706" t="s">
        <v>106124</v>
      </c>
      <c r="L80" s="129" t="s">
        <v>150</v>
      </c>
      <c r="M80" s="59"/>
      <c r="N80" s="59"/>
      <c r="O80" s="60"/>
      <c r="P80" s="60"/>
      <c r="Q80" s="744">
        <v>0</v>
      </c>
      <c r="R80" s="62"/>
      <c r="S80" s="63"/>
      <c r="T80" s="94" t="s">
        <v>156</v>
      </c>
      <c r="U80" s="811"/>
      <c r="V80" s="803"/>
      <c r="W80" s="827">
        <f t="shared" ref="W80:W144" si="2">+V80-Q80</f>
        <v>0</v>
      </c>
    </row>
    <row r="81" spans="1:24" ht="30" x14ac:dyDescent="0.2">
      <c r="A81" s="710"/>
      <c r="B81" s="321"/>
      <c r="C81" s="93"/>
      <c r="D81" s="93"/>
      <c r="E81" s="93"/>
      <c r="F81" s="93"/>
      <c r="G81" s="93"/>
      <c r="H81" s="93"/>
      <c r="I81" s="93"/>
      <c r="J81" s="344"/>
      <c r="K81" s="706">
        <v>43233200</v>
      </c>
      <c r="L81" s="58" t="s">
        <v>106189</v>
      </c>
      <c r="M81" s="59">
        <v>44941</v>
      </c>
      <c r="N81" s="59" t="s">
        <v>259</v>
      </c>
      <c r="O81" s="60" t="s">
        <v>234</v>
      </c>
      <c r="P81" s="60" t="s">
        <v>221</v>
      </c>
      <c r="Q81" s="744">
        <f>33000000+17415313.36</f>
        <v>50415313.359999999</v>
      </c>
      <c r="R81" s="62"/>
      <c r="S81" s="63"/>
      <c r="T81" s="94" t="s">
        <v>263</v>
      </c>
      <c r="U81" s="811">
        <v>49643313.359999999</v>
      </c>
      <c r="V81" s="803">
        <f>+U81-[1]CDPS!$P$39</f>
        <v>48516300</v>
      </c>
      <c r="W81" s="827">
        <f t="shared" si="2"/>
        <v>-1899013.3599999994</v>
      </c>
      <c r="X81" s="821"/>
    </row>
    <row r="82" spans="1:24" ht="30" x14ac:dyDescent="0.2">
      <c r="B82" s="321"/>
      <c r="C82" s="93"/>
      <c r="D82" s="93"/>
      <c r="E82" s="93"/>
      <c r="F82" s="93"/>
      <c r="G82" s="93"/>
      <c r="H82" s="93"/>
      <c r="I82" s="93"/>
      <c r="J82" s="344"/>
      <c r="K82" s="328">
        <v>43231500</v>
      </c>
      <c r="L82" s="58" t="s">
        <v>106149</v>
      </c>
      <c r="M82" s="59">
        <v>44990</v>
      </c>
      <c r="N82" s="59" t="s">
        <v>256</v>
      </c>
      <c r="O82" s="60" t="s">
        <v>326</v>
      </c>
      <c r="P82" s="60" t="s">
        <v>425</v>
      </c>
      <c r="Q82" s="744">
        <f>32000000+5000000+15000000</f>
        <v>52000000</v>
      </c>
      <c r="R82" s="711"/>
      <c r="S82" s="728"/>
      <c r="T82" s="94" t="s">
        <v>156</v>
      </c>
      <c r="U82" s="811">
        <v>52000000</v>
      </c>
      <c r="V82" s="803"/>
      <c r="W82" s="827">
        <f t="shared" si="2"/>
        <v>-52000000</v>
      </c>
      <c r="X82" s="821"/>
    </row>
    <row r="83" spans="1:24" ht="30" x14ac:dyDescent="0.2">
      <c r="B83" s="321"/>
      <c r="C83" s="93"/>
      <c r="D83" s="93"/>
      <c r="E83" s="93"/>
      <c r="F83" s="93"/>
      <c r="G83" s="93"/>
      <c r="H83" s="93"/>
      <c r="I83" s="93"/>
      <c r="J83" s="344"/>
      <c r="K83" s="328">
        <v>43231500</v>
      </c>
      <c r="L83" s="58" t="s">
        <v>106150</v>
      </c>
      <c r="M83" s="59">
        <v>45000</v>
      </c>
      <c r="N83" s="59" t="s">
        <v>315</v>
      </c>
      <c r="O83" s="60" t="s">
        <v>326</v>
      </c>
      <c r="P83" s="60" t="s">
        <v>426</v>
      </c>
      <c r="Q83" s="744">
        <v>117329562.5</v>
      </c>
      <c r="R83" s="795"/>
      <c r="S83" s="63"/>
      <c r="T83" s="94" t="s">
        <v>156</v>
      </c>
      <c r="U83" s="811">
        <v>117329562.5</v>
      </c>
      <c r="V83" s="803">
        <v>97141848.609999999</v>
      </c>
      <c r="W83" s="827">
        <f t="shared" si="2"/>
        <v>-20187713.890000001</v>
      </c>
    </row>
    <row r="84" spans="1:24" ht="30" x14ac:dyDescent="0.2">
      <c r="B84" s="321"/>
      <c r="C84" s="93"/>
      <c r="D84" s="93"/>
      <c r="E84" s="93"/>
      <c r="F84" s="93"/>
      <c r="G84" s="93"/>
      <c r="H84" s="93"/>
      <c r="I84" s="93"/>
      <c r="J84" s="344"/>
      <c r="K84" s="328">
        <v>43231500</v>
      </c>
      <c r="L84" s="58" t="s">
        <v>106125</v>
      </c>
      <c r="M84" s="59">
        <v>44986</v>
      </c>
      <c r="N84" s="59" t="s">
        <v>315</v>
      </c>
      <c r="O84" s="60" t="s">
        <v>326</v>
      </c>
      <c r="P84" s="60" t="s">
        <v>426</v>
      </c>
      <c r="Q84" s="744">
        <f>25000000-5000000</f>
        <v>20000000</v>
      </c>
      <c r="R84" s="62"/>
      <c r="S84" s="63"/>
      <c r="T84" s="94" t="s">
        <v>156</v>
      </c>
      <c r="U84" s="811">
        <v>20000000</v>
      </c>
      <c r="V84" s="803"/>
      <c r="W84" s="827">
        <f t="shared" si="2"/>
        <v>-20000000</v>
      </c>
    </row>
    <row r="85" spans="1:24" ht="30" x14ac:dyDescent="0.2">
      <c r="B85" s="45" t="s">
        <v>7</v>
      </c>
      <c r="C85" s="45" t="s">
        <v>20</v>
      </c>
      <c r="D85" s="45" t="s">
        <v>20</v>
      </c>
      <c r="E85" s="45" t="s">
        <v>8</v>
      </c>
      <c r="F85" s="45" t="s">
        <v>12</v>
      </c>
      <c r="G85" s="45" t="s">
        <v>16</v>
      </c>
      <c r="H85" s="45"/>
      <c r="I85" s="45"/>
      <c r="J85" s="45"/>
      <c r="K85" s="330"/>
      <c r="L85" s="234" t="s">
        <v>127</v>
      </c>
      <c r="M85" s="47"/>
      <c r="N85" s="47"/>
      <c r="O85" s="48"/>
      <c r="P85" s="48"/>
      <c r="Q85" s="742">
        <f>+Q86+Q88</f>
        <v>9000000</v>
      </c>
      <c r="R85" s="212"/>
      <c r="S85" s="212"/>
      <c r="T85" s="90"/>
      <c r="U85" s="810"/>
      <c r="V85" s="800"/>
      <c r="W85" s="826"/>
    </row>
    <row r="86" spans="1:24" ht="60" x14ac:dyDescent="0.2">
      <c r="B86" s="51" t="s">
        <v>7</v>
      </c>
      <c r="C86" s="51" t="s">
        <v>20</v>
      </c>
      <c r="D86" s="51" t="s">
        <v>20</v>
      </c>
      <c r="E86" s="51" t="s">
        <v>8</v>
      </c>
      <c r="F86" s="51" t="s">
        <v>12</v>
      </c>
      <c r="G86" s="51" t="s">
        <v>16</v>
      </c>
      <c r="H86" s="51" t="s">
        <v>20</v>
      </c>
      <c r="I86" s="51"/>
      <c r="J86" s="51"/>
      <c r="K86" s="51"/>
      <c r="L86" s="235" t="s">
        <v>125</v>
      </c>
      <c r="M86" s="54"/>
      <c r="N86" s="54"/>
      <c r="O86" s="55"/>
      <c r="P86" s="55"/>
      <c r="Q86" s="743">
        <f>+Q87</f>
        <v>0</v>
      </c>
      <c r="R86" s="213"/>
      <c r="S86" s="213"/>
      <c r="T86" s="91"/>
      <c r="U86" s="810"/>
      <c r="V86" s="800"/>
      <c r="W86" s="826"/>
    </row>
    <row r="87" spans="1:24" x14ac:dyDescent="0.2">
      <c r="B87" s="321"/>
      <c r="C87" s="93"/>
      <c r="D87" s="93"/>
      <c r="E87" s="93"/>
      <c r="F87" s="93"/>
      <c r="G87" s="93"/>
      <c r="H87" s="93"/>
      <c r="I87" s="93"/>
      <c r="J87" s="344"/>
      <c r="K87" s="328">
        <v>81141500</v>
      </c>
      <c r="L87" s="58" t="s">
        <v>179</v>
      </c>
      <c r="M87" s="59">
        <v>44949</v>
      </c>
      <c r="N87" s="59" t="s">
        <v>256</v>
      </c>
      <c r="O87" s="60" t="s">
        <v>326</v>
      </c>
      <c r="P87" s="60" t="s">
        <v>210</v>
      </c>
      <c r="Q87" s="744">
        <f>10000000-10000000</f>
        <v>0</v>
      </c>
      <c r="R87" s="62"/>
      <c r="S87" s="63"/>
      <c r="T87" s="94" t="s">
        <v>187</v>
      </c>
      <c r="U87" s="811"/>
      <c r="V87" s="803"/>
      <c r="W87" s="827">
        <f t="shared" si="2"/>
        <v>0</v>
      </c>
    </row>
    <row r="88" spans="1:24" ht="30" x14ac:dyDescent="0.2">
      <c r="B88" s="51" t="s">
        <v>7</v>
      </c>
      <c r="C88" s="51" t="s">
        <v>20</v>
      </c>
      <c r="D88" s="51" t="s">
        <v>20</v>
      </c>
      <c r="E88" s="51" t="s">
        <v>8</v>
      </c>
      <c r="F88" s="51" t="s">
        <v>12</v>
      </c>
      <c r="G88" s="51" t="s">
        <v>16</v>
      </c>
      <c r="H88" s="51" t="s">
        <v>23</v>
      </c>
      <c r="I88" s="51"/>
      <c r="J88" s="51"/>
      <c r="K88" s="51"/>
      <c r="L88" s="235" t="s">
        <v>126</v>
      </c>
      <c r="M88" s="54"/>
      <c r="N88" s="54"/>
      <c r="O88" s="55"/>
      <c r="P88" s="55"/>
      <c r="Q88" s="743">
        <f>+Q89</f>
        <v>9000000</v>
      </c>
      <c r="R88" s="213"/>
      <c r="S88" s="213"/>
      <c r="T88" s="91"/>
      <c r="U88" s="810"/>
      <c r="V88" s="800"/>
      <c r="W88" s="826"/>
    </row>
    <row r="89" spans="1:24" ht="39.75" customHeight="1" x14ac:dyDescent="0.2">
      <c r="B89" s="321"/>
      <c r="C89" s="93"/>
      <c r="D89" s="93"/>
      <c r="E89" s="93"/>
      <c r="F89" s="93"/>
      <c r="G89" s="93"/>
      <c r="H89" s="93"/>
      <c r="I89" s="93"/>
      <c r="J89" s="344"/>
      <c r="K89" s="709" t="s">
        <v>324</v>
      </c>
      <c r="L89" s="575" t="s">
        <v>195</v>
      </c>
      <c r="M89" s="2">
        <v>45047</v>
      </c>
      <c r="N89" s="2" t="s">
        <v>325</v>
      </c>
      <c r="O89" s="3" t="s">
        <v>329</v>
      </c>
      <c r="P89" s="60" t="s">
        <v>425</v>
      </c>
      <c r="Q89" s="744">
        <f>19000000-10000000</f>
        <v>9000000</v>
      </c>
      <c r="R89" s="62"/>
      <c r="S89" s="63"/>
      <c r="T89" s="94" t="s">
        <v>401</v>
      </c>
      <c r="U89" s="811">
        <v>9000000</v>
      </c>
      <c r="V89" s="803"/>
      <c r="W89" s="827">
        <f t="shared" si="2"/>
        <v>-9000000</v>
      </c>
    </row>
    <row r="90" spans="1:24" x14ac:dyDescent="0.2">
      <c r="B90" s="33" t="s">
        <v>7</v>
      </c>
      <c r="C90" s="33" t="s">
        <v>20</v>
      </c>
      <c r="D90" s="33" t="s">
        <v>20</v>
      </c>
      <c r="E90" s="33" t="s">
        <v>20</v>
      </c>
      <c r="F90" s="33"/>
      <c r="G90" s="33"/>
      <c r="H90" s="33"/>
      <c r="I90" s="33"/>
      <c r="J90" s="33"/>
      <c r="K90" s="328"/>
      <c r="L90" s="232" t="s">
        <v>69</v>
      </c>
      <c r="M90" s="35"/>
      <c r="N90" s="35"/>
      <c r="O90" s="36"/>
      <c r="P90" s="36"/>
      <c r="Q90" s="740">
        <f>+Q91+Q102+Q110+Q172+Q187</f>
        <v>7128171936.6399994</v>
      </c>
      <c r="R90" s="210"/>
      <c r="S90" s="210"/>
      <c r="T90" s="684"/>
      <c r="U90" s="810"/>
      <c r="V90" s="800"/>
      <c r="W90" s="826"/>
    </row>
    <row r="91" spans="1:24" ht="45" x14ac:dyDescent="0.2">
      <c r="B91" s="199" t="s">
        <v>7</v>
      </c>
      <c r="C91" s="199" t="s">
        <v>20</v>
      </c>
      <c r="D91" s="199" t="s">
        <v>20</v>
      </c>
      <c r="E91" s="199" t="s">
        <v>20</v>
      </c>
      <c r="F91" s="199" t="s">
        <v>14</v>
      </c>
      <c r="G91" s="199"/>
      <c r="H91" s="199"/>
      <c r="I91" s="199"/>
      <c r="J91" s="199"/>
      <c r="K91" s="329"/>
      <c r="L91" s="233" t="s">
        <v>75</v>
      </c>
      <c r="M91" s="41"/>
      <c r="N91" s="41"/>
      <c r="O91" s="42"/>
      <c r="P91" s="42"/>
      <c r="Q91" s="741">
        <f>+Q92+Q96+Q99</f>
        <v>964776888</v>
      </c>
      <c r="R91" s="211"/>
      <c r="S91" s="211"/>
      <c r="T91" s="682"/>
      <c r="U91" s="810"/>
      <c r="V91" s="800"/>
      <c r="W91" s="826"/>
    </row>
    <row r="92" spans="1:24" x14ac:dyDescent="0.2">
      <c r="B92" s="45" t="s">
        <v>7</v>
      </c>
      <c r="C92" s="45" t="s">
        <v>20</v>
      </c>
      <c r="D92" s="45" t="s">
        <v>20</v>
      </c>
      <c r="E92" s="45" t="s">
        <v>20</v>
      </c>
      <c r="F92" s="45" t="s">
        <v>14</v>
      </c>
      <c r="G92" s="45" t="s">
        <v>12</v>
      </c>
      <c r="H92" s="45"/>
      <c r="I92" s="45"/>
      <c r="J92" s="45"/>
      <c r="K92" s="330"/>
      <c r="L92" s="234" t="s">
        <v>76</v>
      </c>
      <c r="M92" s="47"/>
      <c r="N92" s="47"/>
      <c r="O92" s="48"/>
      <c r="P92" s="48"/>
      <c r="Q92" s="742">
        <f>SUM(Q93:Q95)</f>
        <v>48000000</v>
      </c>
      <c r="R92" s="212"/>
      <c r="S92" s="212"/>
      <c r="T92" s="90"/>
      <c r="U92" s="810"/>
      <c r="V92" s="800"/>
      <c r="W92" s="826"/>
    </row>
    <row r="93" spans="1:24" x14ac:dyDescent="0.2">
      <c r="B93" s="321"/>
      <c r="C93" s="93"/>
      <c r="D93" s="93"/>
      <c r="E93" s="93"/>
      <c r="F93" s="93"/>
      <c r="G93" s="93"/>
      <c r="H93" s="93"/>
      <c r="I93" s="93"/>
      <c r="J93" s="344"/>
      <c r="K93" s="706"/>
      <c r="L93" s="58" t="s">
        <v>172</v>
      </c>
      <c r="M93" s="59">
        <v>44929</v>
      </c>
      <c r="N93" s="59" t="s">
        <v>261</v>
      </c>
      <c r="O93" s="60" t="s">
        <v>234</v>
      </c>
      <c r="P93" s="60" t="s">
        <v>210</v>
      </c>
      <c r="Q93" s="744">
        <v>30000000</v>
      </c>
      <c r="R93" s="62"/>
      <c r="S93" s="63"/>
      <c r="T93" s="94" t="s">
        <v>358</v>
      </c>
      <c r="U93" s="811">
        <v>30000000</v>
      </c>
      <c r="V93" s="803">
        <v>30000000</v>
      </c>
      <c r="W93" s="827">
        <f t="shared" si="2"/>
        <v>0</v>
      </c>
    </row>
    <row r="94" spans="1:24" x14ac:dyDescent="0.2">
      <c r="B94" s="321"/>
      <c r="C94" s="93"/>
      <c r="D94" s="93"/>
      <c r="E94" s="93"/>
      <c r="F94" s="93"/>
      <c r="G94" s="93"/>
      <c r="H94" s="93"/>
      <c r="I94" s="93"/>
      <c r="J94" s="344"/>
      <c r="K94" s="706"/>
      <c r="L94" s="58" t="s">
        <v>173</v>
      </c>
      <c r="M94" s="59">
        <v>44947</v>
      </c>
      <c r="N94" s="59" t="s">
        <v>259</v>
      </c>
      <c r="O94" s="60" t="s">
        <v>234</v>
      </c>
      <c r="P94" s="60" t="s">
        <v>210</v>
      </c>
      <c r="Q94" s="744">
        <v>11000000</v>
      </c>
      <c r="R94" s="62"/>
      <c r="S94" s="63"/>
      <c r="T94" s="94" t="s">
        <v>358</v>
      </c>
      <c r="U94" s="811">
        <v>11000000</v>
      </c>
      <c r="V94" s="803">
        <v>11000000</v>
      </c>
      <c r="W94" s="827">
        <f t="shared" si="2"/>
        <v>0</v>
      </c>
    </row>
    <row r="95" spans="1:24" x14ac:dyDescent="0.2">
      <c r="B95" s="321"/>
      <c r="C95" s="93"/>
      <c r="D95" s="93"/>
      <c r="E95" s="93"/>
      <c r="F95" s="93"/>
      <c r="G95" s="93"/>
      <c r="H95" s="93"/>
      <c r="I95" s="93"/>
      <c r="J95" s="344"/>
      <c r="K95" s="303"/>
      <c r="L95" s="58" t="s">
        <v>175</v>
      </c>
      <c r="M95" s="59" t="s">
        <v>231</v>
      </c>
      <c r="N95" s="59" t="s">
        <v>231</v>
      </c>
      <c r="O95" s="59" t="s">
        <v>231</v>
      </c>
      <c r="P95" s="59" t="s">
        <v>231</v>
      </c>
      <c r="Q95" s="744">
        <v>7000000</v>
      </c>
      <c r="R95" s="62"/>
      <c r="S95" s="63"/>
      <c r="T95" s="94" t="s">
        <v>106171</v>
      </c>
      <c r="U95" s="811">
        <v>550239</v>
      </c>
      <c r="V95" s="803">
        <v>550239</v>
      </c>
      <c r="W95" s="827">
        <f t="shared" si="2"/>
        <v>-6449761</v>
      </c>
    </row>
    <row r="96" spans="1:24" x14ac:dyDescent="0.2">
      <c r="B96" s="45" t="s">
        <v>7</v>
      </c>
      <c r="C96" s="45" t="s">
        <v>20</v>
      </c>
      <c r="D96" s="45" t="s">
        <v>20</v>
      </c>
      <c r="E96" s="45" t="s">
        <v>20</v>
      </c>
      <c r="F96" s="45" t="s">
        <v>14</v>
      </c>
      <c r="G96" s="45" t="s">
        <v>16</v>
      </c>
      <c r="H96" s="45"/>
      <c r="I96" s="45"/>
      <c r="J96" s="45"/>
      <c r="K96" s="330"/>
      <c r="L96" s="234" t="s">
        <v>77</v>
      </c>
      <c r="M96" s="47"/>
      <c r="N96" s="47"/>
      <c r="O96" s="48"/>
      <c r="P96" s="48"/>
      <c r="Q96" s="742">
        <f>SUM(Q97:Q98)</f>
        <v>11500000</v>
      </c>
      <c r="R96" s="212"/>
      <c r="S96" s="212"/>
      <c r="T96" s="90"/>
      <c r="U96" s="810"/>
      <c r="V96" s="800"/>
      <c r="W96" s="826"/>
    </row>
    <row r="97" spans="2:24" x14ac:dyDescent="0.2">
      <c r="B97" s="321"/>
      <c r="C97" s="93"/>
      <c r="D97" s="93"/>
      <c r="E97" s="93"/>
      <c r="F97" s="93"/>
      <c r="G97" s="93"/>
      <c r="H97" s="93"/>
      <c r="I97" s="93"/>
      <c r="J97" s="344"/>
      <c r="K97" s="303"/>
      <c r="L97" s="58" t="s">
        <v>174</v>
      </c>
      <c r="M97" s="59">
        <v>44967</v>
      </c>
      <c r="N97" s="59" t="s">
        <v>259</v>
      </c>
      <c r="O97" s="60" t="s">
        <v>234</v>
      </c>
      <c r="P97" s="60" t="s">
        <v>210</v>
      </c>
      <c r="Q97" s="744">
        <v>10000000</v>
      </c>
      <c r="R97" s="62"/>
      <c r="S97" s="63"/>
      <c r="T97" s="94" t="s">
        <v>188</v>
      </c>
      <c r="U97" s="811">
        <v>10000000</v>
      </c>
      <c r="V97" s="803">
        <v>10000000</v>
      </c>
      <c r="W97" s="827">
        <f t="shared" si="2"/>
        <v>0</v>
      </c>
    </row>
    <row r="98" spans="2:24" x14ac:dyDescent="0.2">
      <c r="B98" s="321"/>
      <c r="C98" s="93"/>
      <c r="D98" s="93"/>
      <c r="E98" s="93"/>
      <c r="F98" s="93"/>
      <c r="G98" s="93"/>
      <c r="H98" s="93"/>
      <c r="I98" s="93"/>
      <c r="J98" s="344"/>
      <c r="K98" s="303"/>
      <c r="L98" s="58" t="s">
        <v>176</v>
      </c>
      <c r="M98" s="59" t="s">
        <v>231</v>
      </c>
      <c r="N98" s="59" t="s">
        <v>231</v>
      </c>
      <c r="O98" s="60" t="s">
        <v>231</v>
      </c>
      <c r="P98" s="59" t="s">
        <v>231</v>
      </c>
      <c r="Q98" s="744">
        <v>1500000</v>
      </c>
      <c r="R98" s="62"/>
      <c r="S98" s="63"/>
      <c r="T98" s="94" t="s">
        <v>106171</v>
      </c>
      <c r="U98" s="811">
        <v>199196</v>
      </c>
      <c r="V98" s="803">
        <v>199196</v>
      </c>
      <c r="W98" s="827">
        <f t="shared" si="2"/>
        <v>-1300804</v>
      </c>
    </row>
    <row r="99" spans="2:24" ht="30" x14ac:dyDescent="0.2">
      <c r="B99" s="45" t="s">
        <v>7</v>
      </c>
      <c r="C99" s="45" t="s">
        <v>20</v>
      </c>
      <c r="D99" s="45" t="s">
        <v>20</v>
      </c>
      <c r="E99" s="45" t="s">
        <v>20</v>
      </c>
      <c r="F99" s="45" t="s">
        <v>14</v>
      </c>
      <c r="G99" s="45" t="s">
        <v>17</v>
      </c>
      <c r="H99" s="45"/>
      <c r="I99" s="45"/>
      <c r="J99" s="45"/>
      <c r="K99" s="330"/>
      <c r="L99" s="234" t="s">
        <v>78</v>
      </c>
      <c r="M99" s="47"/>
      <c r="N99" s="47"/>
      <c r="O99" s="48"/>
      <c r="P99" s="48"/>
      <c r="Q99" s="742">
        <f>SUM(Q100)</f>
        <v>905276888</v>
      </c>
      <c r="R99" s="212"/>
      <c r="S99" s="212"/>
      <c r="T99" s="90"/>
      <c r="U99" s="810"/>
      <c r="V99" s="800"/>
      <c r="W99" s="826"/>
    </row>
    <row r="100" spans="2:24" ht="30" x14ac:dyDescent="0.2">
      <c r="B100" s="51" t="s">
        <v>7</v>
      </c>
      <c r="C100" s="51" t="s">
        <v>20</v>
      </c>
      <c r="D100" s="51" t="s">
        <v>20</v>
      </c>
      <c r="E100" s="51" t="s">
        <v>20</v>
      </c>
      <c r="F100" s="51" t="s">
        <v>14</v>
      </c>
      <c r="G100" s="51" t="s">
        <v>17</v>
      </c>
      <c r="H100" s="51" t="s">
        <v>8</v>
      </c>
      <c r="I100" s="51"/>
      <c r="J100" s="51"/>
      <c r="K100" s="51"/>
      <c r="L100" s="235" t="s">
        <v>79</v>
      </c>
      <c r="M100" s="54"/>
      <c r="N100" s="54"/>
      <c r="O100" s="55"/>
      <c r="P100" s="55"/>
      <c r="Q100" s="743">
        <f>SUM(Q101)</f>
        <v>905276888</v>
      </c>
      <c r="R100" s="213"/>
      <c r="S100" s="213"/>
      <c r="T100" s="91"/>
      <c r="U100" s="810"/>
      <c r="V100" s="800"/>
      <c r="W100" s="826"/>
    </row>
    <row r="101" spans="2:24" x14ac:dyDescent="0.2">
      <c r="B101" s="321"/>
      <c r="C101" s="93"/>
      <c r="D101" s="93"/>
      <c r="E101" s="93"/>
      <c r="F101" s="93"/>
      <c r="G101" s="93"/>
      <c r="H101" s="93"/>
      <c r="I101" s="93"/>
      <c r="J101" s="344"/>
      <c r="K101" s="303"/>
      <c r="L101" s="58" t="s">
        <v>106170</v>
      </c>
      <c r="M101" s="59" t="s">
        <v>106191</v>
      </c>
      <c r="N101" s="59" t="s">
        <v>370</v>
      </c>
      <c r="O101" s="60" t="s">
        <v>234</v>
      </c>
      <c r="P101" s="59" t="s">
        <v>231</v>
      </c>
      <c r="Q101" s="744">
        <f>157576888+100000000+185000000+114000000-12000000+269700000-120000000+211000000</f>
        <v>905276888</v>
      </c>
      <c r="R101" s="62"/>
      <c r="S101" s="97"/>
      <c r="T101" s="94" t="s">
        <v>188</v>
      </c>
      <c r="U101" s="811">
        <v>685221693</v>
      </c>
      <c r="V101" s="803">
        <v>685221693</v>
      </c>
      <c r="W101" s="827">
        <f t="shared" si="2"/>
        <v>-220055195</v>
      </c>
      <c r="X101" s="821"/>
    </row>
    <row r="102" spans="2:24" ht="30" x14ac:dyDescent="0.2">
      <c r="B102" s="199" t="s">
        <v>7</v>
      </c>
      <c r="C102" s="199" t="s">
        <v>20</v>
      </c>
      <c r="D102" s="199" t="s">
        <v>20</v>
      </c>
      <c r="E102" s="199" t="s">
        <v>20</v>
      </c>
      <c r="F102" s="199" t="s">
        <v>15</v>
      </c>
      <c r="G102" s="199"/>
      <c r="H102" s="199"/>
      <c r="I102" s="199"/>
      <c r="J102" s="199"/>
      <c r="K102" s="329"/>
      <c r="L102" s="233" t="s">
        <v>80</v>
      </c>
      <c r="M102" s="41"/>
      <c r="N102" s="41"/>
      <c r="O102" s="42"/>
      <c r="P102" s="42"/>
      <c r="Q102" s="741">
        <f>+Q103</f>
        <v>4220000000</v>
      </c>
      <c r="R102" s="211"/>
      <c r="S102" s="211"/>
      <c r="T102" s="682"/>
      <c r="U102" s="810"/>
      <c r="V102" s="800"/>
      <c r="W102" s="826"/>
    </row>
    <row r="103" spans="2:24" x14ac:dyDescent="0.2">
      <c r="B103" s="45" t="s">
        <v>7</v>
      </c>
      <c r="C103" s="45" t="s">
        <v>20</v>
      </c>
      <c r="D103" s="45" t="s">
        <v>20</v>
      </c>
      <c r="E103" s="45" t="s">
        <v>20</v>
      </c>
      <c r="F103" s="45" t="s">
        <v>15</v>
      </c>
      <c r="G103" s="45" t="s">
        <v>9</v>
      </c>
      <c r="H103" s="45"/>
      <c r="I103" s="45"/>
      <c r="J103" s="45"/>
      <c r="K103" s="330"/>
      <c r="L103" s="234" t="s">
        <v>123</v>
      </c>
      <c r="M103" s="47"/>
      <c r="N103" s="47"/>
      <c r="O103" s="48"/>
      <c r="P103" s="48"/>
      <c r="Q103" s="742">
        <f>+Q104</f>
        <v>4220000000</v>
      </c>
      <c r="R103" s="212"/>
      <c r="S103" s="212"/>
      <c r="T103" s="90"/>
      <c r="U103" s="810"/>
      <c r="V103" s="800"/>
      <c r="W103" s="826"/>
    </row>
    <row r="104" spans="2:24" ht="30" x14ac:dyDescent="0.2">
      <c r="B104" s="51" t="s">
        <v>7</v>
      </c>
      <c r="C104" s="51" t="s">
        <v>20</v>
      </c>
      <c r="D104" s="51" t="s">
        <v>20</v>
      </c>
      <c r="E104" s="51" t="s">
        <v>20</v>
      </c>
      <c r="F104" s="51" t="s">
        <v>15</v>
      </c>
      <c r="G104" s="51" t="s">
        <v>9</v>
      </c>
      <c r="H104" s="51" t="s">
        <v>23</v>
      </c>
      <c r="I104" s="51"/>
      <c r="J104" s="51"/>
      <c r="K104" s="51"/>
      <c r="L104" s="235" t="s">
        <v>81</v>
      </c>
      <c r="M104" s="54"/>
      <c r="N104" s="54"/>
      <c r="O104" s="55"/>
      <c r="P104" s="55"/>
      <c r="Q104" s="743">
        <f>+Q105</f>
        <v>4220000000</v>
      </c>
      <c r="R104" s="213"/>
      <c r="S104" s="213"/>
      <c r="T104" s="91"/>
      <c r="U104" s="810"/>
      <c r="V104" s="800"/>
      <c r="W104" s="826"/>
    </row>
    <row r="105" spans="2:24" ht="30" x14ac:dyDescent="0.2">
      <c r="B105" s="51" t="s">
        <v>7</v>
      </c>
      <c r="C105" s="51" t="s">
        <v>20</v>
      </c>
      <c r="D105" s="51" t="s">
        <v>20</v>
      </c>
      <c r="E105" s="51" t="s">
        <v>20</v>
      </c>
      <c r="F105" s="51" t="s">
        <v>15</v>
      </c>
      <c r="G105" s="51" t="s">
        <v>9</v>
      </c>
      <c r="H105" s="51" t="s">
        <v>23</v>
      </c>
      <c r="I105" s="51" t="s">
        <v>34</v>
      </c>
      <c r="J105" s="51"/>
      <c r="K105" s="51"/>
      <c r="L105" s="235" t="s">
        <v>82</v>
      </c>
      <c r="M105" s="54"/>
      <c r="N105" s="54"/>
      <c r="O105" s="55"/>
      <c r="P105" s="55"/>
      <c r="Q105" s="743">
        <f>+Q106+Q108</f>
        <v>4220000000</v>
      </c>
      <c r="R105" s="213"/>
      <c r="S105" s="213"/>
      <c r="T105" s="91"/>
      <c r="U105" s="810"/>
      <c r="V105" s="800"/>
      <c r="W105" s="826"/>
    </row>
    <row r="106" spans="2:24" ht="30" x14ac:dyDescent="0.2">
      <c r="B106" s="51" t="s">
        <v>7</v>
      </c>
      <c r="C106" s="51" t="s">
        <v>20</v>
      </c>
      <c r="D106" s="51" t="s">
        <v>20</v>
      </c>
      <c r="E106" s="51" t="s">
        <v>20</v>
      </c>
      <c r="F106" s="51" t="s">
        <v>15</v>
      </c>
      <c r="G106" s="51" t="s">
        <v>9</v>
      </c>
      <c r="H106" s="51" t="s">
        <v>23</v>
      </c>
      <c r="I106" s="51" t="s">
        <v>34</v>
      </c>
      <c r="J106" s="51" t="s">
        <v>24</v>
      </c>
      <c r="K106" s="51"/>
      <c r="L106" s="235" t="s">
        <v>83</v>
      </c>
      <c r="M106" s="54"/>
      <c r="N106" s="54"/>
      <c r="O106" s="55"/>
      <c r="P106" s="55"/>
      <c r="Q106" s="743">
        <f>+Q107</f>
        <v>4212000000</v>
      </c>
      <c r="R106" s="213"/>
      <c r="S106" s="213"/>
      <c r="T106" s="91"/>
      <c r="U106" s="810"/>
      <c r="V106" s="800"/>
      <c r="W106" s="826"/>
    </row>
    <row r="107" spans="2:24" ht="30" x14ac:dyDescent="0.2">
      <c r="B107" s="321"/>
      <c r="C107" s="93"/>
      <c r="D107" s="93"/>
      <c r="E107" s="93"/>
      <c r="F107" s="93"/>
      <c r="G107" s="93"/>
      <c r="H107" s="93"/>
      <c r="I107" s="93"/>
      <c r="J107" s="344"/>
      <c r="K107" s="353" t="s">
        <v>373</v>
      </c>
      <c r="L107" s="4" t="s">
        <v>83</v>
      </c>
      <c r="M107" s="2">
        <v>44928</v>
      </c>
      <c r="N107" s="2" t="s">
        <v>261</v>
      </c>
      <c r="O107" s="3" t="s">
        <v>364</v>
      </c>
      <c r="P107" s="3" t="s">
        <v>209</v>
      </c>
      <c r="Q107" s="744">
        <f>1852000000+2360000000</f>
        <v>4212000000</v>
      </c>
      <c r="R107" s="62" t="s">
        <v>211</v>
      </c>
      <c r="S107" s="744">
        <v>6000460000</v>
      </c>
      <c r="T107" s="94" t="s">
        <v>166</v>
      </c>
      <c r="U107" s="811">
        <v>4200341597</v>
      </c>
      <c r="V107" s="803">
        <v>4200341597</v>
      </c>
      <c r="W107" s="827">
        <f t="shared" si="2"/>
        <v>-11658403</v>
      </c>
      <c r="X107" s="821"/>
    </row>
    <row r="108" spans="2:24" ht="30" x14ac:dyDescent="0.2">
      <c r="B108" s="51" t="s">
        <v>7</v>
      </c>
      <c r="C108" s="51" t="s">
        <v>20</v>
      </c>
      <c r="D108" s="51" t="s">
        <v>20</v>
      </c>
      <c r="E108" s="51" t="s">
        <v>20</v>
      </c>
      <c r="F108" s="51" t="s">
        <v>15</v>
      </c>
      <c r="G108" s="51" t="s">
        <v>9</v>
      </c>
      <c r="H108" s="51" t="s">
        <v>23</v>
      </c>
      <c r="I108" s="51" t="s">
        <v>34</v>
      </c>
      <c r="J108" s="51" t="s">
        <v>29</v>
      </c>
      <c r="K108" s="51"/>
      <c r="L108" s="235" t="s">
        <v>84</v>
      </c>
      <c r="M108" s="54"/>
      <c r="N108" s="54"/>
      <c r="O108" s="55"/>
      <c r="P108" s="55"/>
      <c r="Q108" s="743">
        <f>+Q109</f>
        <v>8000000</v>
      </c>
      <c r="R108" s="213"/>
      <c r="S108" s="213"/>
      <c r="T108" s="91"/>
      <c r="U108" s="810"/>
      <c r="V108" s="800"/>
      <c r="W108" s="826"/>
      <c r="X108" s="821"/>
    </row>
    <row r="109" spans="2:24" ht="30" x14ac:dyDescent="0.2">
      <c r="B109" s="321"/>
      <c r="C109" s="93"/>
      <c r="D109" s="93"/>
      <c r="E109" s="93"/>
      <c r="F109" s="93"/>
      <c r="G109" s="93"/>
      <c r="H109" s="93"/>
      <c r="I109" s="93"/>
      <c r="J109" s="344"/>
      <c r="K109" s="706">
        <v>84131500</v>
      </c>
      <c r="L109" s="58" t="s">
        <v>363</v>
      </c>
      <c r="M109" s="59">
        <v>45202</v>
      </c>
      <c r="N109" s="59" t="s">
        <v>368</v>
      </c>
      <c r="O109" s="60" t="s">
        <v>364</v>
      </c>
      <c r="P109" s="60" t="s">
        <v>426</v>
      </c>
      <c r="Q109" s="744">
        <v>8000000</v>
      </c>
      <c r="R109" s="62"/>
      <c r="S109" s="63"/>
      <c r="T109" s="94" t="s">
        <v>358</v>
      </c>
      <c r="U109" s="811"/>
      <c r="V109" s="803"/>
      <c r="W109" s="827">
        <f t="shared" si="2"/>
        <v>-8000000</v>
      </c>
      <c r="X109" s="821"/>
    </row>
    <row r="110" spans="2:24" ht="30" x14ac:dyDescent="0.2">
      <c r="B110" s="199" t="s">
        <v>7</v>
      </c>
      <c r="C110" s="199" t="s">
        <v>20</v>
      </c>
      <c r="D110" s="199" t="s">
        <v>20</v>
      </c>
      <c r="E110" s="199" t="s">
        <v>20</v>
      </c>
      <c r="F110" s="199" t="s">
        <v>16</v>
      </c>
      <c r="G110" s="199"/>
      <c r="H110" s="199"/>
      <c r="I110" s="199"/>
      <c r="J110" s="199"/>
      <c r="K110" s="329"/>
      <c r="L110" s="233" t="s">
        <v>85</v>
      </c>
      <c r="M110" s="41"/>
      <c r="N110" s="41"/>
      <c r="O110" s="42"/>
      <c r="P110" s="42"/>
      <c r="Q110" s="741">
        <f>+Q111+Q116+Q145+Q153+Q157</f>
        <v>1480304936.6399999</v>
      </c>
      <c r="R110" s="211"/>
      <c r="S110" s="211"/>
      <c r="T110" s="682"/>
      <c r="U110" s="810"/>
      <c r="V110" s="800"/>
      <c r="W110" s="826"/>
    </row>
    <row r="111" spans="2:24" x14ac:dyDescent="0.2">
      <c r="B111" s="45" t="s">
        <v>7</v>
      </c>
      <c r="C111" s="45" t="s">
        <v>20</v>
      </c>
      <c r="D111" s="45" t="s">
        <v>20</v>
      </c>
      <c r="E111" s="45" t="s">
        <v>20</v>
      </c>
      <c r="F111" s="45" t="s">
        <v>16</v>
      </c>
      <c r="G111" s="45" t="s">
        <v>10</v>
      </c>
      <c r="H111" s="45"/>
      <c r="I111" s="45"/>
      <c r="J111" s="45"/>
      <c r="K111" s="330"/>
      <c r="L111" s="234" t="s">
        <v>86</v>
      </c>
      <c r="M111" s="47"/>
      <c r="N111" s="47"/>
      <c r="O111" s="48"/>
      <c r="P111" s="48"/>
      <c r="Q111" s="742">
        <f>+Q112</f>
        <v>159439000</v>
      </c>
      <c r="R111" s="212"/>
      <c r="S111" s="212"/>
      <c r="T111" s="90"/>
      <c r="U111" s="810"/>
      <c r="V111" s="800"/>
      <c r="W111" s="826"/>
    </row>
    <row r="112" spans="2:24" x14ac:dyDescent="0.2">
      <c r="B112" s="51" t="s">
        <v>7</v>
      </c>
      <c r="C112" s="51" t="s">
        <v>20</v>
      </c>
      <c r="D112" s="51" t="s">
        <v>20</v>
      </c>
      <c r="E112" s="51" t="s">
        <v>20</v>
      </c>
      <c r="F112" s="51" t="s">
        <v>16</v>
      </c>
      <c r="G112" s="51" t="s">
        <v>10</v>
      </c>
      <c r="H112" s="51" t="s">
        <v>8</v>
      </c>
      <c r="I112" s="51"/>
      <c r="J112" s="51"/>
      <c r="K112" s="51"/>
      <c r="L112" s="235" t="s">
        <v>87</v>
      </c>
      <c r="M112" s="54"/>
      <c r="N112" s="54"/>
      <c r="O112" s="55"/>
      <c r="P112" s="55"/>
      <c r="Q112" s="743">
        <f>SUM(Q113:Q115,)</f>
        <v>159439000</v>
      </c>
      <c r="R112" s="213"/>
      <c r="S112" s="213"/>
      <c r="T112" s="91"/>
      <c r="U112" s="810"/>
      <c r="V112" s="800"/>
      <c r="W112" s="826"/>
    </row>
    <row r="113" spans="2:24" ht="90" x14ac:dyDescent="0.2">
      <c r="B113" s="321"/>
      <c r="C113" s="93"/>
      <c r="D113" s="93"/>
      <c r="E113" s="93"/>
      <c r="F113" s="93"/>
      <c r="G113" s="93"/>
      <c r="H113" s="93"/>
      <c r="I113" s="93"/>
      <c r="J113" s="344"/>
      <c r="K113" s="328">
        <v>80121600</v>
      </c>
      <c r="L113" s="58" t="s">
        <v>412</v>
      </c>
      <c r="M113" s="59">
        <v>44937</v>
      </c>
      <c r="N113" s="59" t="s">
        <v>273</v>
      </c>
      <c r="O113" s="60" t="s">
        <v>106122</v>
      </c>
      <c r="P113" s="60" t="s">
        <v>262</v>
      </c>
      <c r="Q113" s="744">
        <v>58190000</v>
      </c>
      <c r="R113" s="795"/>
      <c r="S113" s="63"/>
      <c r="T113" s="94" t="s">
        <v>411</v>
      </c>
      <c r="U113" s="811">
        <v>58190000</v>
      </c>
      <c r="V113" s="803">
        <v>57329800</v>
      </c>
      <c r="W113" s="827">
        <f t="shared" si="2"/>
        <v>-860200</v>
      </c>
      <c r="X113" s="821"/>
    </row>
    <row r="114" spans="2:24" ht="90" x14ac:dyDescent="0.2">
      <c r="B114" s="321"/>
      <c r="C114" s="93"/>
      <c r="D114" s="93"/>
      <c r="E114" s="93"/>
      <c r="F114" s="93"/>
      <c r="G114" s="93"/>
      <c r="H114" s="93"/>
      <c r="I114" s="93"/>
      <c r="J114" s="344"/>
      <c r="K114" s="303">
        <v>80121600</v>
      </c>
      <c r="L114" s="58" t="s">
        <v>106206</v>
      </c>
      <c r="M114" s="59">
        <v>45012</v>
      </c>
      <c r="N114" s="59" t="s">
        <v>256</v>
      </c>
      <c r="O114" s="60" t="s">
        <v>106207</v>
      </c>
      <c r="P114" s="60" t="s">
        <v>262</v>
      </c>
      <c r="Q114" s="744">
        <f>17000000+10944780+15114220</f>
        <v>43059000</v>
      </c>
      <c r="R114" s="795"/>
      <c r="S114" s="63"/>
      <c r="T114" s="94" t="s">
        <v>411</v>
      </c>
      <c r="U114" s="811">
        <f>16711750+10944780</f>
        <v>27656530</v>
      </c>
      <c r="V114" s="803">
        <v>27656530</v>
      </c>
      <c r="W114" s="827">
        <f t="shared" si="2"/>
        <v>-15402470</v>
      </c>
      <c r="X114" s="821"/>
    </row>
    <row r="115" spans="2:24" ht="90" x14ac:dyDescent="0.2">
      <c r="B115" s="321"/>
      <c r="C115" s="93"/>
      <c r="D115" s="93"/>
      <c r="E115" s="93"/>
      <c r="F115" s="93"/>
      <c r="G115" s="93"/>
      <c r="H115" s="93"/>
      <c r="I115" s="93"/>
      <c r="J115" s="344"/>
      <c r="K115" s="303">
        <v>80121600</v>
      </c>
      <c r="L115" s="58" t="s">
        <v>106156</v>
      </c>
      <c r="M115" s="59">
        <v>44936</v>
      </c>
      <c r="N115" s="59" t="s">
        <v>273</v>
      </c>
      <c r="O115" s="60" t="s">
        <v>234</v>
      </c>
      <c r="P115" s="60" t="s">
        <v>262</v>
      </c>
      <c r="Q115" s="744">
        <v>58190000</v>
      </c>
      <c r="R115" s="300"/>
      <c r="S115" s="98"/>
      <c r="T115" s="94" t="s">
        <v>106155</v>
      </c>
      <c r="U115" s="811">
        <v>58190000</v>
      </c>
      <c r="V115" s="803">
        <v>57329800</v>
      </c>
      <c r="W115" s="827">
        <f t="shared" si="2"/>
        <v>-860200</v>
      </c>
      <c r="X115" s="821"/>
    </row>
    <row r="116" spans="2:24" x14ac:dyDescent="0.2">
      <c r="B116" s="45" t="s">
        <v>7</v>
      </c>
      <c r="C116" s="45" t="s">
        <v>20</v>
      </c>
      <c r="D116" s="45" t="s">
        <v>20</v>
      </c>
      <c r="E116" s="45" t="s">
        <v>20</v>
      </c>
      <c r="F116" s="45" t="s">
        <v>16</v>
      </c>
      <c r="G116" s="45" t="s">
        <v>11</v>
      </c>
      <c r="H116" s="45"/>
      <c r="I116" s="45"/>
      <c r="J116" s="45"/>
      <c r="K116" s="330"/>
      <c r="L116" s="234" t="s">
        <v>88</v>
      </c>
      <c r="M116" s="47"/>
      <c r="N116" s="47"/>
      <c r="O116" s="48"/>
      <c r="P116" s="48"/>
      <c r="Q116" s="742">
        <f>+Q117</f>
        <v>1008428289.64</v>
      </c>
      <c r="R116" s="212"/>
      <c r="S116" s="212"/>
      <c r="T116" s="686"/>
      <c r="U116" s="810"/>
      <c r="V116" s="800"/>
      <c r="W116" s="826"/>
    </row>
    <row r="117" spans="2:24" ht="30" x14ac:dyDescent="0.2">
      <c r="B117" s="51" t="s">
        <v>7</v>
      </c>
      <c r="C117" s="51" t="s">
        <v>20</v>
      </c>
      <c r="D117" s="51" t="s">
        <v>20</v>
      </c>
      <c r="E117" s="51" t="s">
        <v>20</v>
      </c>
      <c r="F117" s="51" t="s">
        <v>16</v>
      </c>
      <c r="G117" s="51" t="s">
        <v>11</v>
      </c>
      <c r="H117" s="51" t="s">
        <v>8</v>
      </c>
      <c r="I117" s="51"/>
      <c r="J117" s="51"/>
      <c r="K117" s="51"/>
      <c r="L117" s="235" t="s">
        <v>106</v>
      </c>
      <c r="M117" s="54"/>
      <c r="N117" s="54"/>
      <c r="O117" s="55"/>
      <c r="P117" s="55"/>
      <c r="Q117" s="743">
        <f>+Q118+Q127+Q129</f>
        <v>1008428289.64</v>
      </c>
      <c r="R117" s="213"/>
      <c r="S117" s="213"/>
      <c r="T117" s="91"/>
      <c r="U117" s="810"/>
      <c r="V117" s="800"/>
      <c r="W117" s="826"/>
    </row>
    <row r="118" spans="2:24" ht="30" x14ac:dyDescent="0.2">
      <c r="B118" s="51" t="s">
        <v>7</v>
      </c>
      <c r="C118" s="51" t="s">
        <v>20</v>
      </c>
      <c r="D118" s="51" t="s">
        <v>20</v>
      </c>
      <c r="E118" s="51" t="s">
        <v>20</v>
      </c>
      <c r="F118" s="51" t="s">
        <v>16</v>
      </c>
      <c r="G118" s="51" t="s">
        <v>11</v>
      </c>
      <c r="H118" s="51" t="s">
        <v>8</v>
      </c>
      <c r="I118" s="51" t="s">
        <v>21</v>
      </c>
      <c r="J118" s="77"/>
      <c r="K118" s="77"/>
      <c r="L118" s="235" t="s">
        <v>89</v>
      </c>
      <c r="M118" s="54"/>
      <c r="N118" s="54"/>
      <c r="O118" s="55"/>
      <c r="P118" s="80"/>
      <c r="Q118" s="743">
        <f>SUM(Q119:Q126)</f>
        <v>329924220</v>
      </c>
      <c r="R118" s="213"/>
      <c r="S118" s="213"/>
      <c r="T118" s="91"/>
      <c r="U118" s="810"/>
      <c r="V118" s="800"/>
      <c r="W118" s="826"/>
    </row>
    <row r="119" spans="2:24" ht="90" x14ac:dyDescent="0.2">
      <c r="B119" s="321"/>
      <c r="C119" s="93"/>
      <c r="D119" s="93"/>
      <c r="E119" s="93"/>
      <c r="F119" s="93"/>
      <c r="G119" s="93"/>
      <c r="H119" s="93"/>
      <c r="I119" s="93"/>
      <c r="J119" s="344"/>
      <c r="K119" s="328">
        <v>80101500</v>
      </c>
      <c r="L119" s="129" t="s">
        <v>106199</v>
      </c>
      <c r="M119" s="59">
        <v>44941</v>
      </c>
      <c r="N119" s="59" t="s">
        <v>261</v>
      </c>
      <c r="O119" s="60" t="s">
        <v>234</v>
      </c>
      <c r="P119" s="60" t="s">
        <v>262</v>
      </c>
      <c r="Q119" s="744">
        <v>46000000</v>
      </c>
      <c r="R119" s="300"/>
      <c r="S119" s="794"/>
      <c r="T119" s="94" t="s">
        <v>163</v>
      </c>
      <c r="U119" s="811">
        <v>46000000</v>
      </c>
      <c r="V119" s="803">
        <v>31270800</v>
      </c>
      <c r="W119" s="827">
        <f t="shared" si="2"/>
        <v>-14729200</v>
      </c>
    </row>
    <row r="120" spans="2:24" ht="105" x14ac:dyDescent="0.2">
      <c r="B120" s="321"/>
      <c r="C120" s="93"/>
      <c r="D120" s="93"/>
      <c r="E120" s="93"/>
      <c r="F120" s="93"/>
      <c r="G120" s="93"/>
      <c r="H120" s="93"/>
      <c r="I120" s="93"/>
      <c r="J120" s="344"/>
      <c r="K120" s="328">
        <v>80101500</v>
      </c>
      <c r="L120" s="129" t="s">
        <v>106213</v>
      </c>
      <c r="M120" s="59">
        <v>44941</v>
      </c>
      <c r="N120" s="59" t="s">
        <v>261</v>
      </c>
      <c r="O120" s="60" t="s">
        <v>234</v>
      </c>
      <c r="P120" s="60" t="s">
        <v>262</v>
      </c>
      <c r="Q120" s="744">
        <v>58190000</v>
      </c>
      <c r="R120" s="796"/>
      <c r="S120" s="793"/>
      <c r="T120" s="687" t="s">
        <v>283</v>
      </c>
      <c r="U120" s="812">
        <v>57329800</v>
      </c>
      <c r="V120" s="804">
        <v>57329800</v>
      </c>
      <c r="W120" s="827">
        <f t="shared" si="2"/>
        <v>-860200</v>
      </c>
    </row>
    <row r="121" spans="2:24" ht="135" x14ac:dyDescent="0.2">
      <c r="B121" s="321"/>
      <c r="C121" s="93"/>
      <c r="D121" s="93"/>
      <c r="E121" s="93"/>
      <c r="F121" s="93"/>
      <c r="G121" s="93"/>
      <c r="H121" s="93"/>
      <c r="I121" s="93"/>
      <c r="J121" s="344"/>
      <c r="K121" s="328">
        <v>80101500</v>
      </c>
      <c r="L121" s="129" t="s">
        <v>106136</v>
      </c>
      <c r="M121" s="59">
        <v>44941</v>
      </c>
      <c r="N121" s="59" t="s">
        <v>261</v>
      </c>
      <c r="O121" s="60" t="s">
        <v>234</v>
      </c>
      <c r="P121" s="60" t="s">
        <v>262</v>
      </c>
      <c r="Q121" s="744">
        <v>58190000</v>
      </c>
      <c r="R121" s="62"/>
      <c r="S121" s="63"/>
      <c r="T121" s="687" t="s">
        <v>283</v>
      </c>
      <c r="U121" s="812">
        <v>57329800</v>
      </c>
      <c r="V121" s="804">
        <f>18067573.33+26059000</f>
        <v>44126573.329999998</v>
      </c>
      <c r="W121" s="827">
        <f t="shared" si="2"/>
        <v>-14063426.670000002</v>
      </c>
      <c r="X121" s="821"/>
    </row>
    <row r="122" spans="2:24" ht="75" x14ac:dyDescent="0.2">
      <c r="B122" s="321"/>
      <c r="C122" s="93"/>
      <c r="D122" s="93"/>
      <c r="E122" s="93"/>
      <c r="F122" s="93"/>
      <c r="G122" s="93"/>
      <c r="H122" s="93"/>
      <c r="I122" s="93"/>
      <c r="J122" s="344"/>
      <c r="K122" s="328">
        <v>80101500</v>
      </c>
      <c r="L122" s="129" t="s">
        <v>106154</v>
      </c>
      <c r="M122" s="59">
        <v>44941</v>
      </c>
      <c r="N122" s="59" t="s">
        <v>261</v>
      </c>
      <c r="O122" s="60" t="s">
        <v>234</v>
      </c>
      <c r="P122" s="60" t="s">
        <v>262</v>
      </c>
      <c r="Q122" s="744">
        <f>58190000-10944780</f>
        <v>47245220</v>
      </c>
      <c r="R122" s="62"/>
      <c r="S122" s="63"/>
      <c r="T122" s="688" t="s">
        <v>283</v>
      </c>
      <c r="U122" s="812">
        <v>46329800</v>
      </c>
      <c r="V122" s="804">
        <f>17893846.67+28041750</f>
        <v>45935596.670000002</v>
      </c>
      <c r="W122" s="827">
        <f t="shared" si="2"/>
        <v>-1309623.3299999982</v>
      </c>
      <c r="X122" s="821"/>
    </row>
    <row r="123" spans="2:24" ht="75" x14ac:dyDescent="0.2">
      <c r="B123" s="321"/>
      <c r="C123" s="93"/>
      <c r="D123" s="93"/>
      <c r="E123" s="93"/>
      <c r="F123" s="93"/>
      <c r="G123" s="93"/>
      <c r="H123" s="93"/>
      <c r="I123" s="93"/>
      <c r="J123" s="344"/>
      <c r="K123" s="328">
        <v>80101500</v>
      </c>
      <c r="L123" s="129" t="s">
        <v>106153</v>
      </c>
      <c r="M123" s="59">
        <v>44941</v>
      </c>
      <c r="N123" s="59" t="s">
        <v>261</v>
      </c>
      <c r="O123" s="60" t="s">
        <v>234</v>
      </c>
      <c r="P123" s="60" t="s">
        <v>262</v>
      </c>
      <c r="Q123" s="744">
        <f>58190000-2280000</f>
        <v>55910000</v>
      </c>
      <c r="R123" s="62"/>
      <c r="S123" s="63"/>
      <c r="T123" s="688" t="s">
        <v>283</v>
      </c>
      <c r="U123" s="812">
        <v>55049800</v>
      </c>
      <c r="V123" s="804">
        <f>16330306.67+1737267+24321733</f>
        <v>42389306.670000002</v>
      </c>
      <c r="W123" s="827">
        <f t="shared" si="2"/>
        <v>-13520693.329999998</v>
      </c>
      <c r="X123" s="821"/>
    </row>
    <row r="124" spans="2:24" ht="30" x14ac:dyDescent="0.2">
      <c r="B124" s="322"/>
      <c r="C124" s="301"/>
      <c r="D124" s="301"/>
      <c r="E124" s="301"/>
      <c r="F124" s="301"/>
      <c r="G124" s="301"/>
      <c r="H124" s="301"/>
      <c r="I124" s="301"/>
      <c r="J124" s="307"/>
      <c r="K124" s="328">
        <v>80101500</v>
      </c>
      <c r="L124" s="58" t="s">
        <v>180</v>
      </c>
      <c r="M124" s="59">
        <v>45179</v>
      </c>
      <c r="N124" s="59" t="s">
        <v>106141</v>
      </c>
      <c r="O124" s="60" t="s">
        <v>257</v>
      </c>
      <c r="P124" s="60" t="s">
        <v>262</v>
      </c>
      <c r="Q124" s="744">
        <v>27000000</v>
      </c>
      <c r="R124" s="62"/>
      <c r="S124" s="63"/>
      <c r="T124" s="687" t="s">
        <v>401</v>
      </c>
      <c r="U124" s="812"/>
      <c r="V124" s="804"/>
      <c r="W124" s="827">
        <f t="shared" si="2"/>
        <v>-27000000</v>
      </c>
    </row>
    <row r="125" spans="2:24" ht="30" x14ac:dyDescent="0.2">
      <c r="B125" s="322"/>
      <c r="C125" s="832"/>
      <c r="D125" s="832"/>
      <c r="E125" s="832"/>
      <c r="F125" s="832"/>
      <c r="G125" s="832"/>
      <c r="H125" s="832"/>
      <c r="I125" s="832"/>
      <c r="J125" s="307"/>
      <c r="K125" s="706" t="s">
        <v>106221</v>
      </c>
      <c r="L125" s="58" t="s">
        <v>106049</v>
      </c>
      <c r="M125" s="59">
        <v>45195</v>
      </c>
      <c r="N125" s="59" t="s">
        <v>106141</v>
      </c>
      <c r="O125" s="60" t="s">
        <v>326</v>
      </c>
      <c r="P125" s="60" t="s">
        <v>262</v>
      </c>
      <c r="Q125" s="744">
        <v>11216700</v>
      </c>
      <c r="R125" s="62"/>
      <c r="S125" s="63"/>
      <c r="T125" s="687" t="s">
        <v>348</v>
      </c>
      <c r="U125" s="812"/>
      <c r="V125" s="804"/>
      <c r="W125" s="827">
        <f t="shared" si="2"/>
        <v>-11216700</v>
      </c>
    </row>
    <row r="126" spans="2:24" ht="75" x14ac:dyDescent="0.2">
      <c r="B126" s="322"/>
      <c r="C126" s="713"/>
      <c r="D126" s="713"/>
      <c r="E126" s="713"/>
      <c r="F126" s="713"/>
      <c r="G126" s="713"/>
      <c r="H126" s="713"/>
      <c r="I126" s="713"/>
      <c r="J126" s="307"/>
      <c r="K126" s="303">
        <v>80101500</v>
      </c>
      <c r="L126" s="58" t="s">
        <v>106212</v>
      </c>
      <c r="M126" s="59">
        <v>45017</v>
      </c>
      <c r="N126" s="59" t="s">
        <v>315</v>
      </c>
      <c r="O126" s="60" t="s">
        <v>305</v>
      </c>
      <c r="P126" s="60" t="s">
        <v>262</v>
      </c>
      <c r="Q126" s="744">
        <f>50000000-17000000-6827700</f>
        <v>26172300</v>
      </c>
      <c r="R126" s="62"/>
      <c r="S126" s="63"/>
      <c r="T126" s="687" t="s">
        <v>106233</v>
      </c>
      <c r="U126" s="812">
        <v>26172300</v>
      </c>
      <c r="V126" s="804">
        <v>26172300</v>
      </c>
      <c r="W126" s="827">
        <f t="shared" si="2"/>
        <v>0</v>
      </c>
    </row>
    <row r="127" spans="2:24" x14ac:dyDescent="0.2">
      <c r="B127" s="51" t="s">
        <v>7</v>
      </c>
      <c r="C127" s="51" t="s">
        <v>20</v>
      </c>
      <c r="D127" s="51" t="s">
        <v>20</v>
      </c>
      <c r="E127" s="51" t="s">
        <v>20</v>
      </c>
      <c r="F127" s="51" t="s">
        <v>16</v>
      </c>
      <c r="G127" s="51" t="s">
        <v>11</v>
      </c>
      <c r="H127" s="51" t="s">
        <v>8</v>
      </c>
      <c r="I127" s="51" t="s">
        <v>22</v>
      </c>
      <c r="J127" s="51"/>
      <c r="K127" s="51"/>
      <c r="L127" s="235" t="s">
        <v>90</v>
      </c>
      <c r="M127" s="54"/>
      <c r="N127" s="54"/>
      <c r="O127" s="55"/>
      <c r="P127" s="80"/>
      <c r="Q127" s="743">
        <f>+Q128</f>
        <v>8500000</v>
      </c>
      <c r="R127" s="213"/>
      <c r="S127" s="213"/>
      <c r="T127" s="91"/>
      <c r="U127" s="810"/>
      <c r="V127" s="800"/>
      <c r="W127" s="826"/>
    </row>
    <row r="128" spans="2:24" ht="30" x14ac:dyDescent="0.2">
      <c r="B128" s="321"/>
      <c r="C128" s="93"/>
      <c r="D128" s="93"/>
      <c r="E128" s="93"/>
      <c r="F128" s="93"/>
      <c r="G128" s="93"/>
      <c r="H128" s="93"/>
      <c r="I128" s="93"/>
      <c r="J128" s="344"/>
      <c r="K128" s="328">
        <v>80101500</v>
      </c>
      <c r="L128" s="58" t="s">
        <v>243</v>
      </c>
      <c r="M128" s="59">
        <v>45184</v>
      </c>
      <c r="N128" s="59" t="s">
        <v>368</v>
      </c>
      <c r="O128" s="60" t="s">
        <v>371</v>
      </c>
      <c r="P128" s="60" t="s">
        <v>262</v>
      </c>
      <c r="Q128" s="744">
        <v>8500000</v>
      </c>
      <c r="R128" s="62"/>
      <c r="S128" s="63"/>
      <c r="T128" s="94" t="s">
        <v>163</v>
      </c>
      <c r="U128" s="811"/>
      <c r="V128" s="803"/>
      <c r="W128" s="827">
        <f t="shared" si="2"/>
        <v>-8500000</v>
      </c>
    </row>
    <row r="129" spans="2:23" ht="30" x14ac:dyDescent="0.2">
      <c r="B129" s="51" t="s">
        <v>7</v>
      </c>
      <c r="C129" s="51" t="s">
        <v>20</v>
      </c>
      <c r="D129" s="51" t="s">
        <v>20</v>
      </c>
      <c r="E129" s="51" t="s">
        <v>20</v>
      </c>
      <c r="F129" s="51" t="s">
        <v>16</v>
      </c>
      <c r="G129" s="51" t="s">
        <v>11</v>
      </c>
      <c r="H129" s="51" t="s">
        <v>8</v>
      </c>
      <c r="I129" s="51" t="s">
        <v>32</v>
      </c>
      <c r="J129" s="51"/>
      <c r="K129" s="51"/>
      <c r="L129" s="235" t="s">
        <v>91</v>
      </c>
      <c r="M129" s="54"/>
      <c r="N129" s="54"/>
      <c r="O129" s="55"/>
      <c r="P129" s="55"/>
      <c r="Q129" s="743">
        <f>SUM(Q130:Q144)</f>
        <v>670004069.63999999</v>
      </c>
      <c r="R129" s="213"/>
      <c r="S129" s="213"/>
      <c r="T129" s="91"/>
      <c r="U129" s="810"/>
      <c r="V129" s="800"/>
      <c r="W129" s="826"/>
    </row>
    <row r="130" spans="2:23" ht="42" customHeight="1" x14ac:dyDescent="0.2">
      <c r="B130" s="321"/>
      <c r="C130" s="93"/>
      <c r="D130" s="93"/>
      <c r="E130" s="93"/>
      <c r="F130" s="93"/>
      <c r="G130" s="93"/>
      <c r="H130" s="93"/>
      <c r="I130" s="93"/>
      <c r="J130" s="344"/>
      <c r="K130" s="706" t="s">
        <v>106126</v>
      </c>
      <c r="L130" s="58" t="s">
        <v>427</v>
      </c>
      <c r="M130" s="59">
        <v>44998</v>
      </c>
      <c r="N130" s="59" t="s">
        <v>315</v>
      </c>
      <c r="O130" s="60" t="s">
        <v>338</v>
      </c>
      <c r="P130" s="60" t="s">
        <v>106211</v>
      </c>
      <c r="Q130" s="744">
        <f>38000000-1417647-9968083</f>
        <v>26614270</v>
      </c>
      <c r="R130" s="62"/>
      <c r="S130" s="63"/>
      <c r="T130" s="94" t="s">
        <v>156</v>
      </c>
      <c r="U130" s="811">
        <v>26614270</v>
      </c>
      <c r="V130" s="803">
        <v>26614270</v>
      </c>
      <c r="W130" s="827">
        <f t="shared" si="2"/>
        <v>0</v>
      </c>
    </row>
    <row r="131" spans="2:23" ht="48" customHeight="1" x14ac:dyDescent="0.2">
      <c r="B131" s="321"/>
      <c r="C131" s="93"/>
      <c r="D131" s="93"/>
      <c r="E131" s="93"/>
      <c r="F131" s="93"/>
      <c r="G131" s="93"/>
      <c r="H131" s="93"/>
      <c r="I131" s="93"/>
      <c r="J131" s="344"/>
      <c r="K131" s="706">
        <v>43222501</v>
      </c>
      <c r="L131" s="58" t="s">
        <v>155</v>
      </c>
      <c r="M131" s="59">
        <v>44942</v>
      </c>
      <c r="N131" s="59" t="s">
        <v>259</v>
      </c>
      <c r="O131" s="60" t="s">
        <v>319</v>
      </c>
      <c r="P131" s="60" t="s">
        <v>425</v>
      </c>
      <c r="Q131" s="744">
        <f>48170437.5+8000000</f>
        <v>56170437.5</v>
      </c>
      <c r="R131" s="795"/>
      <c r="S131" s="63"/>
      <c r="T131" s="94" t="s">
        <v>156</v>
      </c>
      <c r="U131" s="811">
        <v>48170437.5</v>
      </c>
      <c r="V131" s="803">
        <v>48170437</v>
      </c>
      <c r="W131" s="827">
        <f t="shared" si="2"/>
        <v>-8000000.5</v>
      </c>
    </row>
    <row r="132" spans="2:23" ht="45" x14ac:dyDescent="0.2">
      <c r="B132" s="321"/>
      <c r="C132" s="93"/>
      <c r="D132" s="93"/>
      <c r="E132" s="93"/>
      <c r="F132" s="93"/>
      <c r="G132" s="93"/>
      <c r="H132" s="93"/>
      <c r="I132" s="93"/>
      <c r="J132" s="344"/>
      <c r="K132" s="706">
        <v>81111500</v>
      </c>
      <c r="L132" s="58" t="s">
        <v>106127</v>
      </c>
      <c r="M132" s="59">
        <v>45000</v>
      </c>
      <c r="N132" s="59" t="s">
        <v>438</v>
      </c>
      <c r="O132" s="60" t="s">
        <v>305</v>
      </c>
      <c r="P132" s="60" t="s">
        <v>221</v>
      </c>
      <c r="Q132" s="746">
        <v>42000000</v>
      </c>
      <c r="R132" s="62"/>
      <c r="S132" s="63"/>
      <c r="T132" s="94" t="s">
        <v>156</v>
      </c>
      <c r="U132" s="811">
        <v>42000000</v>
      </c>
      <c r="V132" s="803">
        <v>42000000</v>
      </c>
      <c r="W132" s="827">
        <f t="shared" si="2"/>
        <v>0</v>
      </c>
    </row>
    <row r="133" spans="2:23" ht="30" x14ac:dyDescent="0.2">
      <c r="B133" s="321"/>
      <c r="C133" s="93"/>
      <c r="D133" s="93"/>
      <c r="E133" s="93"/>
      <c r="F133" s="93"/>
      <c r="G133" s="93"/>
      <c r="H133" s="93"/>
      <c r="I133" s="93"/>
      <c r="J133" s="344"/>
      <c r="K133" s="706">
        <v>81111500</v>
      </c>
      <c r="L133" s="58" t="s">
        <v>416</v>
      </c>
      <c r="M133" s="59">
        <v>44935</v>
      </c>
      <c r="N133" s="59" t="s">
        <v>261</v>
      </c>
      <c r="O133" s="60" t="s">
        <v>234</v>
      </c>
      <c r="P133" s="60" t="s">
        <v>221</v>
      </c>
      <c r="Q133" s="746">
        <f>58190000-9000000</f>
        <v>49190000</v>
      </c>
      <c r="R133" s="62"/>
      <c r="S133" s="63"/>
      <c r="T133" s="94" t="s">
        <v>156</v>
      </c>
      <c r="U133" s="811">
        <v>58190000</v>
      </c>
      <c r="V133" s="803">
        <v>44000000</v>
      </c>
      <c r="W133" s="827">
        <f t="shared" si="2"/>
        <v>-5190000</v>
      </c>
    </row>
    <row r="134" spans="2:23" ht="45" x14ac:dyDescent="0.2">
      <c r="B134" s="321"/>
      <c r="C134" s="93"/>
      <c r="D134" s="93"/>
      <c r="E134" s="93"/>
      <c r="F134" s="93"/>
      <c r="G134" s="93"/>
      <c r="H134" s="93"/>
      <c r="I134" s="93"/>
      <c r="J134" s="344"/>
      <c r="K134" s="706">
        <v>81111500</v>
      </c>
      <c r="L134" s="58" t="s">
        <v>106128</v>
      </c>
      <c r="M134" s="59">
        <v>44935</v>
      </c>
      <c r="N134" s="59" t="s">
        <v>259</v>
      </c>
      <c r="O134" s="60" t="s">
        <v>234</v>
      </c>
      <c r="P134" s="60" t="s">
        <v>221</v>
      </c>
      <c r="Q134" s="746">
        <f>42108000-15000000</f>
        <v>27108000</v>
      </c>
      <c r="R134" s="62"/>
      <c r="S134" s="63"/>
      <c r="T134" s="94" t="s">
        <v>156</v>
      </c>
      <c r="U134" s="811">
        <v>27108000</v>
      </c>
      <c r="V134" s="803">
        <f>+[1]CDPS!$O$521-[1]CDPS!$P$521</f>
        <v>18694500</v>
      </c>
      <c r="W134" s="827">
        <f t="shared" si="2"/>
        <v>-8413500</v>
      </c>
    </row>
    <row r="135" spans="2:23" ht="30" x14ac:dyDescent="0.2">
      <c r="B135" s="321"/>
      <c r="C135" s="93"/>
      <c r="D135" s="93"/>
      <c r="E135" s="93"/>
      <c r="F135" s="93"/>
      <c r="G135" s="93"/>
      <c r="H135" s="93"/>
      <c r="I135" s="93"/>
      <c r="J135" s="344"/>
      <c r="K135" s="706">
        <v>81111500</v>
      </c>
      <c r="L135" s="129" t="s">
        <v>415</v>
      </c>
      <c r="M135" s="59">
        <v>44935</v>
      </c>
      <c r="N135" s="59" t="s">
        <v>259</v>
      </c>
      <c r="O135" s="60" t="s">
        <v>234</v>
      </c>
      <c r="P135" s="60" t="s">
        <v>221</v>
      </c>
      <c r="Q135" s="746">
        <f>58190000-3987279.86</f>
        <v>54202720.140000001</v>
      </c>
      <c r="R135" s="62"/>
      <c r="S135" s="63"/>
      <c r="T135" s="94" t="s">
        <v>156</v>
      </c>
      <c r="U135" s="811">
        <v>54202720.140000001</v>
      </c>
      <c r="V135" s="803">
        <v>54202720.140000001</v>
      </c>
      <c r="W135" s="827">
        <f t="shared" si="2"/>
        <v>0</v>
      </c>
    </row>
    <row r="136" spans="2:23" ht="30" x14ac:dyDescent="0.2">
      <c r="B136" s="321"/>
      <c r="C136" s="93"/>
      <c r="D136" s="93"/>
      <c r="E136" s="93"/>
      <c r="F136" s="93"/>
      <c r="G136" s="93"/>
      <c r="H136" s="93"/>
      <c r="I136" s="93"/>
      <c r="J136" s="344"/>
      <c r="K136" s="706">
        <v>82112200</v>
      </c>
      <c r="L136" s="58" t="s">
        <v>153</v>
      </c>
      <c r="M136" s="59">
        <v>44935</v>
      </c>
      <c r="N136" s="59" t="s">
        <v>259</v>
      </c>
      <c r="O136" s="60" t="s">
        <v>319</v>
      </c>
      <c r="P136" s="60" t="s">
        <v>221</v>
      </c>
      <c r="Q136" s="744">
        <f>11000000-183100</f>
        <v>10816900</v>
      </c>
      <c r="R136" s="62"/>
      <c r="S136" s="72"/>
      <c r="T136" s="94" t="s">
        <v>156</v>
      </c>
      <c r="U136" s="811">
        <v>10816900</v>
      </c>
      <c r="V136" s="803">
        <v>10816900</v>
      </c>
      <c r="W136" s="827">
        <f t="shared" si="2"/>
        <v>0</v>
      </c>
    </row>
    <row r="137" spans="2:23" ht="30" x14ac:dyDescent="0.2">
      <c r="B137" s="321"/>
      <c r="C137" s="93"/>
      <c r="D137" s="93"/>
      <c r="E137" s="93"/>
      <c r="F137" s="93"/>
      <c r="G137" s="93"/>
      <c r="H137" s="93"/>
      <c r="I137" s="93"/>
      <c r="J137" s="344"/>
      <c r="K137" s="706">
        <v>82112200</v>
      </c>
      <c r="L137" s="58" t="s">
        <v>169</v>
      </c>
      <c r="M137" s="59">
        <v>45082</v>
      </c>
      <c r="N137" s="59" t="s">
        <v>367</v>
      </c>
      <c r="O137" s="60" t="s">
        <v>326</v>
      </c>
      <c r="P137" s="60" t="s">
        <v>221</v>
      </c>
      <c r="Q137" s="744">
        <f>120000000-120000000+120000000-12000000-8000000-19503220</f>
        <v>80496780</v>
      </c>
      <c r="R137" s="62"/>
      <c r="S137" s="72"/>
      <c r="T137" s="94" t="s">
        <v>156</v>
      </c>
      <c r="U137" s="811">
        <v>120000000</v>
      </c>
      <c r="V137" s="803">
        <v>79550000</v>
      </c>
      <c r="W137" s="827">
        <f t="shared" si="2"/>
        <v>-946780</v>
      </c>
    </row>
    <row r="138" spans="2:23" ht="75" x14ac:dyDescent="0.2">
      <c r="B138" s="321"/>
      <c r="C138" s="93"/>
      <c r="D138" s="93"/>
      <c r="E138" s="93"/>
      <c r="F138" s="93"/>
      <c r="G138" s="93"/>
      <c r="H138" s="93"/>
      <c r="I138" s="93"/>
      <c r="J138" s="344"/>
      <c r="K138" s="706" t="s">
        <v>106129</v>
      </c>
      <c r="L138" s="100" t="s">
        <v>106130</v>
      </c>
      <c r="M138" s="59">
        <v>45000</v>
      </c>
      <c r="N138" s="59" t="s">
        <v>438</v>
      </c>
      <c r="O138" s="60" t="s">
        <v>305</v>
      </c>
      <c r="P138" s="60" t="s">
        <v>106041</v>
      </c>
      <c r="Q138" s="746">
        <f>260000000-150000000-32000000-40000000-18000000-20000000</f>
        <v>0</v>
      </c>
      <c r="R138" s="711"/>
      <c r="S138" s="72"/>
      <c r="T138" s="94" t="s">
        <v>156</v>
      </c>
      <c r="U138" s="811">
        <v>260000000</v>
      </c>
      <c r="V138" s="803"/>
      <c r="W138" s="827">
        <f t="shared" si="2"/>
        <v>0</v>
      </c>
    </row>
    <row r="139" spans="2:23" ht="45" x14ac:dyDescent="0.2">
      <c r="B139" s="321"/>
      <c r="C139" s="93"/>
      <c r="D139" s="93"/>
      <c r="E139" s="93"/>
      <c r="F139" s="93"/>
      <c r="G139" s="93"/>
      <c r="H139" s="93"/>
      <c r="I139" s="93"/>
      <c r="J139" s="344"/>
      <c r="K139" s="328">
        <v>81111800</v>
      </c>
      <c r="L139" s="129" t="s">
        <v>106187</v>
      </c>
      <c r="M139" s="59">
        <v>44935</v>
      </c>
      <c r="N139" s="59" t="s">
        <v>259</v>
      </c>
      <c r="O139" s="60" t="s">
        <v>326</v>
      </c>
      <c r="P139" s="60" t="s">
        <v>430</v>
      </c>
      <c r="Q139" s="744">
        <f>206000000-188038</f>
        <v>205811962</v>
      </c>
      <c r="R139" s="62"/>
      <c r="S139" s="63"/>
      <c r="T139" s="94" t="s">
        <v>156</v>
      </c>
      <c r="U139" s="811">
        <v>205811962</v>
      </c>
      <c r="V139" s="803">
        <v>205811962</v>
      </c>
      <c r="W139" s="827">
        <f t="shared" si="2"/>
        <v>0</v>
      </c>
    </row>
    <row r="140" spans="2:23" ht="45" x14ac:dyDescent="0.2">
      <c r="B140" s="321"/>
      <c r="C140" s="93"/>
      <c r="D140" s="93"/>
      <c r="E140" s="93"/>
      <c r="F140" s="93"/>
      <c r="G140" s="93"/>
      <c r="H140" s="93"/>
      <c r="I140" s="93"/>
      <c r="J140" s="344"/>
      <c r="K140" s="328">
        <v>80101500</v>
      </c>
      <c r="L140" s="58" t="s">
        <v>106186</v>
      </c>
      <c r="M140" s="59">
        <v>44936</v>
      </c>
      <c r="N140" s="59" t="s">
        <v>261</v>
      </c>
      <c r="O140" s="60" t="s">
        <v>305</v>
      </c>
      <c r="P140" s="60" t="s">
        <v>333</v>
      </c>
      <c r="Q140" s="744">
        <v>52800000</v>
      </c>
      <c r="R140" s="62"/>
      <c r="S140" s="63"/>
      <c r="T140" s="94" t="s">
        <v>263</v>
      </c>
      <c r="U140" s="811">
        <v>52800000</v>
      </c>
      <c r="V140" s="803"/>
      <c r="W140" s="827">
        <f t="shared" si="2"/>
        <v>-52800000</v>
      </c>
    </row>
    <row r="141" spans="2:23" ht="30" x14ac:dyDescent="0.2">
      <c r="B141" s="321"/>
      <c r="C141" s="93"/>
      <c r="D141" s="93"/>
      <c r="E141" s="93"/>
      <c r="F141" s="93"/>
      <c r="G141" s="93"/>
      <c r="H141" s="93"/>
      <c r="I141" s="93"/>
      <c r="J141" s="344"/>
      <c r="K141" s="303">
        <v>80101500</v>
      </c>
      <c r="L141" s="129" t="s">
        <v>106133</v>
      </c>
      <c r="M141" s="59">
        <v>44936</v>
      </c>
      <c r="N141" s="59" t="s">
        <v>261</v>
      </c>
      <c r="O141" s="60" t="s">
        <v>234</v>
      </c>
      <c r="P141" s="60" t="s">
        <v>430</v>
      </c>
      <c r="Q141" s="744">
        <f>26565000-2772000</f>
        <v>23793000</v>
      </c>
      <c r="R141" s="62"/>
      <c r="S141" s="63"/>
      <c r="T141" s="94" t="s">
        <v>263</v>
      </c>
      <c r="U141" s="811">
        <v>23793000</v>
      </c>
      <c r="V141" s="803">
        <v>23793000</v>
      </c>
      <c r="W141" s="827">
        <f t="shared" si="2"/>
        <v>0</v>
      </c>
    </row>
    <row r="142" spans="2:23" ht="45" x14ac:dyDescent="0.2">
      <c r="B142" s="321"/>
      <c r="C142" s="93"/>
      <c r="D142" s="93"/>
      <c r="E142" s="93"/>
      <c r="F142" s="93"/>
      <c r="G142" s="93"/>
      <c r="H142" s="93"/>
      <c r="I142" s="93"/>
      <c r="J142" s="344"/>
      <c r="K142" s="833" t="s">
        <v>106231</v>
      </c>
      <c r="L142" s="129" t="s">
        <v>106230</v>
      </c>
      <c r="M142" s="59"/>
      <c r="N142" s="59"/>
      <c r="O142" s="60"/>
      <c r="P142" s="60"/>
      <c r="Q142" s="744">
        <v>32000000</v>
      </c>
      <c r="R142" s="62"/>
      <c r="S142" s="63"/>
      <c r="T142" s="94" t="s">
        <v>156</v>
      </c>
      <c r="U142" s="811"/>
      <c r="V142" s="803"/>
      <c r="W142" s="827"/>
    </row>
    <row r="143" spans="2:23" ht="30" x14ac:dyDescent="0.2">
      <c r="B143" s="321"/>
      <c r="C143" s="93"/>
      <c r="D143" s="93"/>
      <c r="E143" s="93"/>
      <c r="F143" s="93"/>
      <c r="G143" s="93"/>
      <c r="H143" s="93"/>
      <c r="I143" s="93"/>
      <c r="J143" s="344"/>
      <c r="K143" s="303">
        <v>80161500</v>
      </c>
      <c r="L143" s="129" t="s">
        <v>106228</v>
      </c>
      <c r="M143" s="59">
        <v>45195</v>
      </c>
      <c r="N143" s="59" t="s">
        <v>106141</v>
      </c>
      <c r="O143" s="60" t="s">
        <v>106232</v>
      </c>
      <c r="P143" s="60" t="s">
        <v>430</v>
      </c>
      <c r="Q143" s="744">
        <v>9000000</v>
      </c>
      <c r="R143" s="62"/>
      <c r="S143" s="63"/>
      <c r="T143" s="94" t="s">
        <v>106229</v>
      </c>
      <c r="U143" s="811"/>
      <c r="V143" s="803"/>
      <c r="W143" s="827"/>
    </row>
    <row r="144" spans="2:23" ht="30" x14ac:dyDescent="0.2">
      <c r="B144" s="321"/>
      <c r="C144" s="93"/>
      <c r="D144" s="93"/>
      <c r="E144" s="93"/>
      <c r="F144" s="93"/>
      <c r="G144" s="93"/>
      <c r="H144" s="93"/>
      <c r="I144" s="93"/>
      <c r="J144" s="344"/>
      <c r="K144" s="328">
        <v>80111600</v>
      </c>
      <c r="L144" s="58" t="s">
        <v>106134</v>
      </c>
      <c r="M144" s="59">
        <v>44970</v>
      </c>
      <c r="N144" s="59" t="s">
        <v>256</v>
      </c>
      <c r="O144" s="60" t="s">
        <v>326</v>
      </c>
      <c r="P144" s="60" t="s">
        <v>333</v>
      </c>
      <c r="Q144" s="744">
        <f>25000000+35000000-60000000</f>
        <v>0</v>
      </c>
      <c r="R144" s="62"/>
      <c r="S144" s="63"/>
      <c r="T144" s="94" t="s">
        <v>263</v>
      </c>
      <c r="U144" s="811"/>
      <c r="V144" s="803"/>
      <c r="W144" s="827">
        <f t="shared" si="2"/>
        <v>0</v>
      </c>
    </row>
    <row r="145" spans="2:23" ht="30" x14ac:dyDescent="0.2">
      <c r="B145" s="45" t="s">
        <v>7</v>
      </c>
      <c r="C145" s="45" t="s">
        <v>20</v>
      </c>
      <c r="D145" s="45" t="s">
        <v>20</v>
      </c>
      <c r="E145" s="45" t="s">
        <v>20</v>
      </c>
      <c r="F145" s="45" t="s">
        <v>16</v>
      </c>
      <c r="G145" s="45" t="s">
        <v>12</v>
      </c>
      <c r="H145" s="45"/>
      <c r="I145" s="45"/>
      <c r="J145" s="45"/>
      <c r="K145" s="330"/>
      <c r="L145" s="234" t="s">
        <v>92</v>
      </c>
      <c r="M145" s="47"/>
      <c r="N145" s="47"/>
      <c r="O145" s="48"/>
      <c r="P145" s="48"/>
      <c r="Q145" s="742">
        <f>+Q146+Q150</f>
        <v>85687647</v>
      </c>
      <c r="R145" s="212"/>
      <c r="S145" s="212"/>
      <c r="T145" s="90"/>
      <c r="U145" s="810"/>
      <c r="V145" s="800"/>
      <c r="W145" s="826"/>
    </row>
    <row r="146" spans="2:23" x14ac:dyDescent="0.2">
      <c r="B146" s="51" t="s">
        <v>7</v>
      </c>
      <c r="C146" s="51" t="s">
        <v>20</v>
      </c>
      <c r="D146" s="51" t="s">
        <v>20</v>
      </c>
      <c r="E146" s="51" t="s">
        <v>20</v>
      </c>
      <c r="F146" s="51" t="s">
        <v>16</v>
      </c>
      <c r="G146" s="51" t="s">
        <v>12</v>
      </c>
      <c r="H146" s="51" t="s">
        <v>8</v>
      </c>
      <c r="I146" s="51"/>
      <c r="J146" s="51"/>
      <c r="K146" s="51"/>
      <c r="L146" s="235" t="s">
        <v>93</v>
      </c>
      <c r="M146" s="54"/>
      <c r="N146" s="54"/>
      <c r="O146" s="55"/>
      <c r="P146" s="55"/>
      <c r="Q146" s="743">
        <f>SUM(Q147+Q148+Q149)</f>
        <v>72000000</v>
      </c>
      <c r="R146" s="213"/>
      <c r="S146" s="213"/>
      <c r="T146" s="91"/>
      <c r="U146" s="810"/>
      <c r="V146" s="800"/>
      <c r="W146" s="826"/>
    </row>
    <row r="147" spans="2:23" x14ac:dyDescent="0.2">
      <c r="B147" s="321"/>
      <c r="C147" s="93"/>
      <c r="D147" s="93"/>
      <c r="E147" s="93"/>
      <c r="F147" s="93"/>
      <c r="G147" s="93"/>
      <c r="H147" s="93"/>
      <c r="I147" s="93"/>
      <c r="J147" s="344"/>
      <c r="K147" s="328"/>
      <c r="L147" s="58" t="s">
        <v>182</v>
      </c>
      <c r="M147" s="59">
        <v>44928</v>
      </c>
      <c r="N147" s="59" t="s">
        <v>261</v>
      </c>
      <c r="O147" s="60" t="s">
        <v>202</v>
      </c>
      <c r="P147" s="60" t="s">
        <v>231</v>
      </c>
      <c r="Q147" s="744">
        <v>55000000</v>
      </c>
      <c r="R147" s="62"/>
      <c r="S147" s="97"/>
      <c r="T147" s="94" t="s">
        <v>188</v>
      </c>
      <c r="U147" s="811">
        <v>41398981</v>
      </c>
      <c r="V147" s="803">
        <v>41398981</v>
      </c>
      <c r="W147" s="827">
        <f>+V147-Q147</f>
        <v>-13601019</v>
      </c>
    </row>
    <row r="148" spans="2:23" x14ac:dyDescent="0.2">
      <c r="B148" s="321"/>
      <c r="C148" s="93"/>
      <c r="D148" s="93"/>
      <c r="E148" s="93"/>
      <c r="F148" s="93"/>
      <c r="G148" s="93"/>
      <c r="H148" s="93"/>
      <c r="I148" s="93"/>
      <c r="J148" s="344"/>
      <c r="K148" s="328"/>
      <c r="L148" s="129" t="s">
        <v>183</v>
      </c>
      <c r="M148" s="59">
        <v>44928</v>
      </c>
      <c r="N148" s="59" t="s">
        <v>261</v>
      </c>
      <c r="O148" s="60" t="s">
        <v>202</v>
      </c>
      <c r="P148" s="60" t="s">
        <v>231</v>
      </c>
      <c r="Q148" s="744">
        <v>15000000</v>
      </c>
      <c r="R148" s="62"/>
      <c r="S148" s="63"/>
      <c r="T148" s="94" t="s">
        <v>188</v>
      </c>
      <c r="U148" s="811"/>
      <c r="V148" s="803"/>
      <c r="W148" s="827">
        <f t="shared" ref="W148:W211" si="3">+V148-Q148</f>
        <v>-15000000</v>
      </c>
    </row>
    <row r="149" spans="2:23" x14ac:dyDescent="0.2">
      <c r="B149" s="321"/>
      <c r="C149" s="93"/>
      <c r="D149" s="93"/>
      <c r="E149" s="93"/>
      <c r="F149" s="93"/>
      <c r="G149" s="93"/>
      <c r="H149" s="93"/>
      <c r="I149" s="93"/>
      <c r="J149" s="344"/>
      <c r="K149" s="303"/>
      <c r="L149" s="129" t="s">
        <v>184</v>
      </c>
      <c r="M149" s="59" t="s">
        <v>231</v>
      </c>
      <c r="N149" s="59" t="s">
        <v>231</v>
      </c>
      <c r="O149" s="60" t="s">
        <v>231</v>
      </c>
      <c r="P149" s="60" t="s">
        <v>231</v>
      </c>
      <c r="Q149" s="744">
        <v>2000000</v>
      </c>
      <c r="R149" s="62"/>
      <c r="S149" s="97"/>
      <c r="T149" s="94" t="s">
        <v>106171</v>
      </c>
      <c r="U149" s="811"/>
      <c r="V149" s="803"/>
      <c r="W149" s="827">
        <f t="shared" si="3"/>
        <v>-2000000</v>
      </c>
    </row>
    <row r="150" spans="2:23" x14ac:dyDescent="0.2">
      <c r="B150" s="51" t="s">
        <v>7</v>
      </c>
      <c r="C150" s="51" t="s">
        <v>20</v>
      </c>
      <c r="D150" s="51" t="s">
        <v>20</v>
      </c>
      <c r="E150" s="51" t="s">
        <v>20</v>
      </c>
      <c r="F150" s="51" t="s">
        <v>16</v>
      </c>
      <c r="G150" s="51" t="s">
        <v>12</v>
      </c>
      <c r="H150" s="51" t="s">
        <v>20</v>
      </c>
      <c r="I150" s="51"/>
      <c r="J150" s="51"/>
      <c r="K150" s="51"/>
      <c r="L150" s="235" t="s">
        <v>94</v>
      </c>
      <c r="M150" s="54"/>
      <c r="N150" s="54"/>
      <c r="O150" s="55"/>
      <c r="P150" s="55"/>
      <c r="Q150" s="743">
        <f>SUM(Q151+Q152)</f>
        <v>13687647</v>
      </c>
      <c r="R150" s="213"/>
      <c r="S150" s="213"/>
      <c r="T150" s="91"/>
      <c r="U150" s="810"/>
      <c r="V150" s="800"/>
      <c r="W150" s="826"/>
    </row>
    <row r="151" spans="2:23" ht="30" x14ac:dyDescent="0.2">
      <c r="B151" s="344"/>
      <c r="C151" s="344"/>
      <c r="D151" s="344"/>
      <c r="E151" s="344"/>
      <c r="F151" s="344"/>
      <c r="G151" s="344"/>
      <c r="H151" s="344"/>
      <c r="I151" s="344"/>
      <c r="J151" s="344"/>
      <c r="K151" s="328">
        <v>81112100</v>
      </c>
      <c r="L151" s="58" t="s">
        <v>106151</v>
      </c>
      <c r="M151" s="59">
        <v>44936</v>
      </c>
      <c r="N151" s="59" t="s">
        <v>261</v>
      </c>
      <c r="O151" s="60" t="s">
        <v>316</v>
      </c>
      <c r="P151" s="60" t="s">
        <v>236</v>
      </c>
      <c r="Q151" s="744">
        <f>3270000+1417647+510392</f>
        <v>5198039</v>
      </c>
      <c r="R151" s="62"/>
      <c r="S151" s="97"/>
      <c r="T151" s="94" t="s">
        <v>156</v>
      </c>
      <c r="U151" s="811">
        <f>2362745+1417647</f>
        <v>3780392</v>
      </c>
      <c r="V151" s="803">
        <v>3307843</v>
      </c>
      <c r="W151" s="827">
        <f t="shared" si="3"/>
        <v>-1890196</v>
      </c>
    </row>
    <row r="152" spans="2:23" ht="30" x14ac:dyDescent="0.2">
      <c r="B152" s="344"/>
      <c r="C152" s="344"/>
      <c r="D152" s="344"/>
      <c r="E152" s="344"/>
      <c r="F152" s="344"/>
      <c r="G152" s="344"/>
      <c r="H152" s="344"/>
      <c r="I152" s="344"/>
      <c r="J152" s="344"/>
      <c r="K152" s="328">
        <v>81112100</v>
      </c>
      <c r="L152" s="129" t="s">
        <v>106210</v>
      </c>
      <c r="M152" s="59">
        <v>45056</v>
      </c>
      <c r="N152" s="59" t="s">
        <v>367</v>
      </c>
      <c r="O152" s="60" t="s">
        <v>364</v>
      </c>
      <c r="P152" s="60" t="s">
        <v>236</v>
      </c>
      <c r="Q152" s="744">
        <f>9000000-510392</f>
        <v>8489608</v>
      </c>
      <c r="R152" s="62" t="s">
        <v>211</v>
      </c>
      <c r="S152" s="744">
        <v>3120000</v>
      </c>
      <c r="T152" s="94" t="s">
        <v>156</v>
      </c>
      <c r="U152" s="811">
        <v>2880000</v>
      </c>
      <c r="V152" s="811"/>
      <c r="W152" s="827">
        <f t="shared" si="3"/>
        <v>-8489608</v>
      </c>
    </row>
    <row r="153" spans="2:23" x14ac:dyDescent="0.2">
      <c r="B153" s="45" t="s">
        <v>7</v>
      </c>
      <c r="C153" s="45" t="s">
        <v>20</v>
      </c>
      <c r="D153" s="45" t="s">
        <v>20</v>
      </c>
      <c r="E153" s="45" t="s">
        <v>20</v>
      </c>
      <c r="F153" s="45" t="s">
        <v>16</v>
      </c>
      <c r="G153" s="676" t="s">
        <v>13</v>
      </c>
      <c r="H153" s="45"/>
      <c r="I153" s="45"/>
      <c r="J153" s="45"/>
      <c r="K153" s="330"/>
      <c r="L153" s="234" t="s">
        <v>95</v>
      </c>
      <c r="M153" s="47"/>
      <c r="N153" s="47"/>
      <c r="O153" s="48"/>
      <c r="P153" s="48"/>
      <c r="Q153" s="742">
        <f>+Q154</f>
        <v>24000000</v>
      </c>
      <c r="R153" s="212"/>
      <c r="S153" s="212"/>
      <c r="T153" s="90"/>
      <c r="U153" s="810"/>
      <c r="V153" s="800"/>
      <c r="W153" s="826"/>
    </row>
    <row r="154" spans="2:23" x14ac:dyDescent="0.2">
      <c r="B154" s="51" t="s">
        <v>7</v>
      </c>
      <c r="C154" s="51" t="s">
        <v>20</v>
      </c>
      <c r="D154" s="51" t="s">
        <v>20</v>
      </c>
      <c r="E154" s="51" t="s">
        <v>20</v>
      </c>
      <c r="F154" s="51" t="s">
        <v>16</v>
      </c>
      <c r="G154" s="52" t="s">
        <v>13</v>
      </c>
      <c r="H154" s="52" t="s">
        <v>31</v>
      </c>
      <c r="I154" s="51"/>
      <c r="J154" s="51"/>
      <c r="K154" s="51"/>
      <c r="L154" s="235" t="s">
        <v>106098</v>
      </c>
      <c r="M154" s="54"/>
      <c r="N154" s="54"/>
      <c r="O154" s="55"/>
      <c r="P154" s="55"/>
      <c r="Q154" s="743">
        <f>+Q155</f>
        <v>24000000</v>
      </c>
      <c r="R154" s="213"/>
      <c r="S154" s="213"/>
      <c r="T154" s="91"/>
      <c r="U154" s="810"/>
      <c r="V154" s="800"/>
      <c r="W154" s="826"/>
    </row>
    <row r="155" spans="2:23" x14ac:dyDescent="0.2">
      <c r="B155" s="51" t="s">
        <v>7</v>
      </c>
      <c r="C155" s="51" t="s">
        <v>20</v>
      </c>
      <c r="D155" s="51" t="s">
        <v>20</v>
      </c>
      <c r="E155" s="51" t="s">
        <v>20</v>
      </c>
      <c r="F155" s="51" t="s">
        <v>16</v>
      </c>
      <c r="G155" s="52" t="s">
        <v>13</v>
      </c>
      <c r="H155" s="52" t="s">
        <v>31</v>
      </c>
      <c r="I155" s="51">
        <v>3</v>
      </c>
      <c r="J155" s="51"/>
      <c r="K155" s="51"/>
      <c r="L155" s="235" t="s">
        <v>106099</v>
      </c>
      <c r="M155" s="54"/>
      <c r="N155" s="54"/>
      <c r="O155" s="55"/>
      <c r="P155" s="55"/>
      <c r="Q155" s="743">
        <f>+Q156</f>
        <v>24000000</v>
      </c>
      <c r="R155" s="213"/>
      <c r="S155" s="213"/>
      <c r="T155" s="91"/>
      <c r="U155" s="810"/>
      <c r="V155" s="800"/>
      <c r="W155" s="826"/>
    </row>
    <row r="156" spans="2:23" ht="30" x14ac:dyDescent="0.2">
      <c r="B156" s="321"/>
      <c r="C156" s="93"/>
      <c r="D156" s="93"/>
      <c r="E156" s="93"/>
      <c r="F156" s="93"/>
      <c r="G156" s="93"/>
      <c r="H156" s="93"/>
      <c r="I156" s="93"/>
      <c r="J156" s="344"/>
      <c r="K156" s="706" t="s">
        <v>106100</v>
      </c>
      <c r="L156" s="129" t="s">
        <v>106101</v>
      </c>
      <c r="M156" s="59">
        <v>45027</v>
      </c>
      <c r="N156" s="59" t="s">
        <v>438</v>
      </c>
      <c r="O156" s="60" t="s">
        <v>106102</v>
      </c>
      <c r="P156" s="60" t="s">
        <v>292</v>
      </c>
      <c r="Q156" s="744">
        <f>24000000-24000000+24000000</f>
        <v>24000000</v>
      </c>
      <c r="R156" s="62"/>
      <c r="S156" s="97"/>
      <c r="T156" s="94" t="s">
        <v>167</v>
      </c>
      <c r="U156" s="811"/>
      <c r="V156" s="803"/>
      <c r="W156" s="827">
        <f t="shared" si="3"/>
        <v>-24000000</v>
      </c>
    </row>
    <row r="157" spans="2:23" ht="30" x14ac:dyDescent="0.2">
      <c r="B157" s="45" t="s">
        <v>7</v>
      </c>
      <c r="C157" s="45" t="s">
        <v>20</v>
      </c>
      <c r="D157" s="45" t="s">
        <v>20</v>
      </c>
      <c r="E157" s="45" t="s">
        <v>20</v>
      </c>
      <c r="F157" s="45" t="s">
        <v>16</v>
      </c>
      <c r="G157" s="45" t="s">
        <v>15</v>
      </c>
      <c r="H157" s="45"/>
      <c r="I157" s="45"/>
      <c r="J157" s="45"/>
      <c r="K157" s="330"/>
      <c r="L157" s="234" t="s">
        <v>97</v>
      </c>
      <c r="M157" s="47"/>
      <c r="N157" s="47"/>
      <c r="O157" s="48"/>
      <c r="P157" s="48"/>
      <c r="Q157" s="742">
        <f>+Q158</f>
        <v>202750000</v>
      </c>
      <c r="R157" s="212"/>
      <c r="S157" s="212"/>
      <c r="T157" s="90"/>
      <c r="U157" s="810"/>
      <c r="V157" s="800"/>
      <c r="W157" s="826"/>
    </row>
    <row r="158" spans="2:23" ht="30" x14ac:dyDescent="0.2">
      <c r="B158" s="51" t="s">
        <v>7</v>
      </c>
      <c r="C158" s="51" t="s">
        <v>20</v>
      </c>
      <c r="D158" s="51" t="s">
        <v>20</v>
      </c>
      <c r="E158" s="51" t="s">
        <v>20</v>
      </c>
      <c r="F158" s="51" t="s">
        <v>16</v>
      </c>
      <c r="G158" s="51" t="s">
        <v>15</v>
      </c>
      <c r="H158" s="51" t="s">
        <v>8</v>
      </c>
      <c r="I158" s="51"/>
      <c r="J158" s="51"/>
      <c r="K158" s="51"/>
      <c r="L158" s="235" t="s">
        <v>98</v>
      </c>
      <c r="M158" s="54"/>
      <c r="N158" s="54"/>
      <c r="O158" s="55"/>
      <c r="P158" s="55"/>
      <c r="Q158" s="743">
        <f>+Q159+Q161+Q164</f>
        <v>202750000</v>
      </c>
      <c r="R158" s="213"/>
      <c r="S158" s="213"/>
      <c r="T158" s="91"/>
      <c r="U158" s="810"/>
      <c r="V158" s="800"/>
      <c r="W158" s="826"/>
    </row>
    <row r="159" spans="2:23" ht="30" x14ac:dyDescent="0.2">
      <c r="B159" s="51" t="s">
        <v>7</v>
      </c>
      <c r="C159" s="51" t="s">
        <v>20</v>
      </c>
      <c r="D159" s="51" t="s">
        <v>20</v>
      </c>
      <c r="E159" s="51" t="s">
        <v>20</v>
      </c>
      <c r="F159" s="51" t="s">
        <v>16</v>
      </c>
      <c r="G159" s="51" t="s">
        <v>15</v>
      </c>
      <c r="H159" s="51" t="s">
        <v>8</v>
      </c>
      <c r="I159" s="51" t="s">
        <v>32</v>
      </c>
      <c r="J159" s="51"/>
      <c r="K159" s="51"/>
      <c r="L159" s="235" t="s">
        <v>120</v>
      </c>
      <c r="M159" s="54"/>
      <c r="N159" s="54"/>
      <c r="O159" s="55"/>
      <c r="P159" s="55"/>
      <c r="Q159" s="743">
        <f>+Q160</f>
        <v>70000000</v>
      </c>
      <c r="R159" s="213"/>
      <c r="S159" s="213"/>
      <c r="T159" s="91"/>
      <c r="U159" s="810"/>
      <c r="V159" s="800"/>
      <c r="W159" s="826"/>
    </row>
    <row r="160" spans="2:23" ht="60" x14ac:dyDescent="0.2">
      <c r="B160" s="321"/>
      <c r="C160" s="93"/>
      <c r="D160" s="93"/>
      <c r="E160" s="93"/>
      <c r="F160" s="93"/>
      <c r="G160" s="93"/>
      <c r="H160" s="93"/>
      <c r="I160" s="93"/>
      <c r="J160" s="344"/>
      <c r="K160" s="706" t="s">
        <v>106225</v>
      </c>
      <c r="L160" s="58" t="s">
        <v>106131</v>
      </c>
      <c r="M160" s="59">
        <v>44972</v>
      </c>
      <c r="N160" s="59" t="s">
        <v>256</v>
      </c>
      <c r="O160" s="60" t="s">
        <v>338</v>
      </c>
      <c r="P160" s="60" t="s">
        <v>333</v>
      </c>
      <c r="Q160" s="744">
        <v>70000000</v>
      </c>
      <c r="R160" s="62"/>
      <c r="S160" s="63"/>
      <c r="T160" s="94" t="s">
        <v>156</v>
      </c>
      <c r="U160" s="811">
        <v>70000000</v>
      </c>
      <c r="V160" s="803"/>
      <c r="W160" s="827">
        <f t="shared" si="3"/>
        <v>-70000000</v>
      </c>
    </row>
    <row r="161" spans="2:23" ht="30" x14ac:dyDescent="0.2">
      <c r="B161" s="51" t="s">
        <v>7</v>
      </c>
      <c r="C161" s="51" t="s">
        <v>20</v>
      </c>
      <c r="D161" s="51" t="s">
        <v>20</v>
      </c>
      <c r="E161" s="51" t="s">
        <v>20</v>
      </c>
      <c r="F161" s="51" t="s">
        <v>16</v>
      </c>
      <c r="G161" s="51" t="s">
        <v>15</v>
      </c>
      <c r="H161" s="51" t="s">
        <v>8</v>
      </c>
      <c r="I161" s="51" t="s">
        <v>33</v>
      </c>
      <c r="J161" s="51"/>
      <c r="K161" s="51"/>
      <c r="L161" s="235" t="s">
        <v>121</v>
      </c>
      <c r="M161" s="54"/>
      <c r="N161" s="54"/>
      <c r="O161" s="55"/>
      <c r="P161" s="55"/>
      <c r="Q161" s="743">
        <f>SUM(Q162:Q163)</f>
        <v>30000000</v>
      </c>
      <c r="R161" s="213"/>
      <c r="S161" s="213"/>
      <c r="T161" s="91"/>
      <c r="U161" s="810"/>
      <c r="V161" s="800"/>
      <c r="W161" s="826"/>
    </row>
    <row r="162" spans="2:23" ht="45" x14ac:dyDescent="0.2">
      <c r="B162" s="321"/>
      <c r="C162" s="93"/>
      <c r="D162" s="93"/>
      <c r="E162" s="93"/>
      <c r="F162" s="93"/>
      <c r="G162" s="93"/>
      <c r="H162" s="93"/>
      <c r="I162" s="93"/>
      <c r="J162" s="344"/>
      <c r="K162" s="706"/>
      <c r="L162" s="58" t="s">
        <v>106184</v>
      </c>
      <c r="M162" s="59">
        <v>44929</v>
      </c>
      <c r="N162" s="59" t="s">
        <v>261</v>
      </c>
      <c r="O162" s="60" t="s">
        <v>305</v>
      </c>
      <c r="P162" s="60" t="s">
        <v>425</v>
      </c>
      <c r="Q162" s="744">
        <v>15000000</v>
      </c>
      <c r="R162" s="62"/>
      <c r="S162" s="63"/>
      <c r="T162" s="94" t="s">
        <v>166</v>
      </c>
      <c r="U162" s="811">
        <v>15000000</v>
      </c>
      <c r="V162" s="803">
        <v>15000000</v>
      </c>
      <c r="W162" s="827">
        <f t="shared" si="3"/>
        <v>0</v>
      </c>
    </row>
    <row r="163" spans="2:23" ht="75" x14ac:dyDescent="0.2">
      <c r="B163" s="321"/>
      <c r="C163" s="93"/>
      <c r="D163" s="93"/>
      <c r="E163" s="93"/>
      <c r="F163" s="93"/>
      <c r="G163" s="93"/>
      <c r="H163" s="93"/>
      <c r="I163" s="93"/>
      <c r="J163" s="344"/>
      <c r="K163" s="706" t="s">
        <v>207</v>
      </c>
      <c r="L163" s="58" t="s">
        <v>106103</v>
      </c>
      <c r="M163" s="59">
        <v>45031</v>
      </c>
      <c r="N163" s="59" t="s">
        <v>438</v>
      </c>
      <c r="O163" s="60" t="s">
        <v>374</v>
      </c>
      <c r="P163" s="59" t="s">
        <v>209</v>
      </c>
      <c r="Q163" s="744">
        <v>15000000</v>
      </c>
      <c r="R163" s="62" t="s">
        <v>211</v>
      </c>
      <c r="S163" s="72">
        <v>31080000</v>
      </c>
      <c r="T163" s="94" t="s">
        <v>166</v>
      </c>
      <c r="U163" s="811">
        <v>15000000</v>
      </c>
      <c r="V163" s="803"/>
      <c r="W163" s="827">
        <f t="shared" si="3"/>
        <v>-15000000</v>
      </c>
    </row>
    <row r="164" spans="2:23" ht="30" x14ac:dyDescent="0.2">
      <c r="B164" s="51" t="s">
        <v>7</v>
      </c>
      <c r="C164" s="51" t="s">
        <v>20</v>
      </c>
      <c r="D164" s="51" t="s">
        <v>20</v>
      </c>
      <c r="E164" s="51" t="s">
        <v>20</v>
      </c>
      <c r="F164" s="51" t="s">
        <v>16</v>
      </c>
      <c r="G164" s="51" t="s">
        <v>15</v>
      </c>
      <c r="H164" s="51" t="s">
        <v>8</v>
      </c>
      <c r="I164" s="51" t="s">
        <v>34</v>
      </c>
      <c r="J164" s="51"/>
      <c r="K164" s="51"/>
      <c r="L164" s="235" t="s">
        <v>99</v>
      </c>
      <c r="M164" s="54"/>
      <c r="N164" s="54"/>
      <c r="O164" s="55"/>
      <c r="P164" s="55"/>
      <c r="Q164" s="743">
        <f>SUM(Q165:Q171)</f>
        <v>102750000</v>
      </c>
      <c r="R164" s="213"/>
      <c r="S164" s="213"/>
      <c r="T164" s="91"/>
      <c r="U164" s="810"/>
      <c r="V164" s="800"/>
      <c r="W164" s="826"/>
    </row>
    <row r="165" spans="2:23" ht="75" x14ac:dyDescent="0.2">
      <c r="B165" s="321"/>
      <c r="C165" s="93"/>
      <c r="D165" s="93"/>
      <c r="E165" s="93"/>
      <c r="F165" s="93"/>
      <c r="G165" s="93"/>
      <c r="H165" s="93"/>
      <c r="I165" s="93"/>
      <c r="J165" s="344"/>
      <c r="K165" s="706"/>
      <c r="L165" s="58" t="s">
        <v>517</v>
      </c>
      <c r="M165" s="59"/>
      <c r="N165" s="59"/>
      <c r="O165" s="60" t="s">
        <v>305</v>
      </c>
      <c r="P165" s="59" t="s">
        <v>333</v>
      </c>
      <c r="Q165" s="744">
        <v>9960000</v>
      </c>
      <c r="R165" s="62"/>
      <c r="S165" s="63"/>
      <c r="T165" s="94" t="s">
        <v>166</v>
      </c>
      <c r="U165" s="811">
        <v>9960000</v>
      </c>
      <c r="V165" s="803">
        <v>9960000</v>
      </c>
      <c r="W165" s="827">
        <f t="shared" si="3"/>
        <v>0</v>
      </c>
    </row>
    <row r="166" spans="2:23" ht="44.25" customHeight="1" x14ac:dyDescent="0.2">
      <c r="B166" s="322"/>
      <c r="C166" s="301"/>
      <c r="D166" s="301"/>
      <c r="E166" s="301"/>
      <c r="F166" s="301"/>
      <c r="G166" s="301"/>
      <c r="H166" s="301"/>
      <c r="I166" s="301"/>
      <c r="J166" s="307"/>
      <c r="K166" s="706" t="s">
        <v>419</v>
      </c>
      <c r="L166" s="58" t="s">
        <v>185</v>
      </c>
      <c r="M166" s="59">
        <v>44947</v>
      </c>
      <c r="N166" s="59" t="s">
        <v>259</v>
      </c>
      <c r="O166" s="59" t="s">
        <v>202</v>
      </c>
      <c r="P166" s="59" t="s">
        <v>333</v>
      </c>
      <c r="Q166" s="744">
        <v>40000000</v>
      </c>
      <c r="R166" s="62"/>
      <c r="S166" s="61"/>
      <c r="T166" s="94" t="s">
        <v>358</v>
      </c>
      <c r="U166" s="811">
        <v>40000000</v>
      </c>
      <c r="V166" s="803">
        <v>40000000</v>
      </c>
      <c r="W166" s="827">
        <f t="shared" si="3"/>
        <v>0</v>
      </c>
    </row>
    <row r="167" spans="2:23" ht="75" x14ac:dyDescent="0.2">
      <c r="B167" s="322"/>
      <c r="C167" s="301"/>
      <c r="D167" s="301"/>
      <c r="E167" s="301"/>
      <c r="F167" s="301"/>
      <c r="G167" s="301"/>
      <c r="H167" s="301"/>
      <c r="I167" s="301"/>
      <c r="J167" s="307"/>
      <c r="K167" s="706">
        <v>72154100</v>
      </c>
      <c r="L167" s="58" t="s">
        <v>106104</v>
      </c>
      <c r="M167" s="59">
        <v>45031</v>
      </c>
      <c r="N167" s="59" t="s">
        <v>405</v>
      </c>
      <c r="O167" s="59" t="s">
        <v>374</v>
      </c>
      <c r="P167" s="59" t="s">
        <v>209</v>
      </c>
      <c r="Q167" s="744">
        <v>9960000</v>
      </c>
      <c r="R167" s="62" t="s">
        <v>211</v>
      </c>
      <c r="S167" s="72">
        <v>20640000</v>
      </c>
      <c r="T167" s="94" t="s">
        <v>166</v>
      </c>
      <c r="U167" s="811">
        <v>9960000</v>
      </c>
      <c r="V167" s="803"/>
      <c r="W167" s="827">
        <f t="shared" si="3"/>
        <v>-9960000</v>
      </c>
    </row>
    <row r="168" spans="2:23" ht="45" x14ac:dyDescent="0.2">
      <c r="B168" s="322"/>
      <c r="C168" s="301"/>
      <c r="D168" s="301"/>
      <c r="E168" s="301"/>
      <c r="F168" s="301"/>
      <c r="G168" s="301"/>
      <c r="H168" s="301"/>
      <c r="I168" s="301"/>
      <c r="J168" s="307"/>
      <c r="K168" s="706" t="s">
        <v>106105</v>
      </c>
      <c r="L168" s="58" t="s">
        <v>289</v>
      </c>
      <c r="M168" s="59">
        <v>45047</v>
      </c>
      <c r="N168" s="59" t="s">
        <v>361</v>
      </c>
      <c r="O168" s="60" t="s">
        <v>442</v>
      </c>
      <c r="P168" s="60" t="s">
        <v>210</v>
      </c>
      <c r="Q168" s="744">
        <v>5830000</v>
      </c>
      <c r="R168" s="62"/>
      <c r="S168" s="63"/>
      <c r="T168" s="94" t="s">
        <v>166</v>
      </c>
      <c r="U168" s="811">
        <v>5830000</v>
      </c>
      <c r="V168" s="803"/>
      <c r="W168" s="827">
        <f t="shared" si="3"/>
        <v>-5830000</v>
      </c>
    </row>
    <row r="169" spans="2:23" ht="30" x14ac:dyDescent="0.2">
      <c r="B169" s="322"/>
      <c r="C169" s="301"/>
      <c r="D169" s="301"/>
      <c r="E169" s="301"/>
      <c r="F169" s="301"/>
      <c r="G169" s="301"/>
      <c r="H169" s="301"/>
      <c r="I169" s="301"/>
      <c r="J169" s="307"/>
      <c r="K169" s="709">
        <v>86101700</v>
      </c>
      <c r="L169" s="4" t="s">
        <v>106064</v>
      </c>
      <c r="M169" s="2">
        <v>45055</v>
      </c>
      <c r="N169" s="2" t="s">
        <v>367</v>
      </c>
      <c r="O169" s="3" t="s">
        <v>326</v>
      </c>
      <c r="P169" s="3" t="s">
        <v>432</v>
      </c>
      <c r="Q169" s="744">
        <v>15000000</v>
      </c>
      <c r="R169" s="62"/>
      <c r="S169" s="63"/>
      <c r="T169" s="94" t="s">
        <v>401</v>
      </c>
      <c r="U169" s="811"/>
      <c r="V169" s="803"/>
      <c r="W169" s="827">
        <f t="shared" si="3"/>
        <v>-15000000</v>
      </c>
    </row>
    <row r="170" spans="2:23" x14ac:dyDescent="0.2">
      <c r="B170" s="322"/>
      <c r="C170" s="729"/>
      <c r="D170" s="729"/>
      <c r="E170" s="729"/>
      <c r="F170" s="729"/>
      <c r="G170" s="729"/>
      <c r="H170" s="729"/>
      <c r="I170" s="729"/>
      <c r="J170" s="307"/>
      <c r="K170" s="735"/>
      <c r="L170" s="575" t="s">
        <v>186</v>
      </c>
      <c r="M170" s="2" t="s">
        <v>231</v>
      </c>
      <c r="N170" s="2" t="s">
        <v>231</v>
      </c>
      <c r="O170" s="2" t="s">
        <v>231</v>
      </c>
      <c r="P170" s="2" t="s">
        <v>231</v>
      </c>
      <c r="Q170" s="744">
        <v>12000000</v>
      </c>
      <c r="R170" s="62"/>
      <c r="S170" s="63"/>
      <c r="T170" s="94" t="s">
        <v>106171</v>
      </c>
      <c r="U170" s="811">
        <v>5126533.0199999996</v>
      </c>
      <c r="V170" s="803">
        <v>5126533.0199999996</v>
      </c>
      <c r="W170" s="827">
        <f t="shared" si="3"/>
        <v>-6873466.9800000004</v>
      </c>
    </row>
    <row r="171" spans="2:23" x14ac:dyDescent="0.2">
      <c r="B171" s="322"/>
      <c r="C171" s="819"/>
      <c r="D171" s="819"/>
      <c r="E171" s="819"/>
      <c r="F171" s="819"/>
      <c r="G171" s="819"/>
      <c r="H171" s="819"/>
      <c r="I171" s="819"/>
      <c r="J171" s="307"/>
      <c r="K171" s="328">
        <v>81141500</v>
      </c>
      <c r="L171" s="58" t="s">
        <v>179</v>
      </c>
      <c r="M171" s="59">
        <v>44949</v>
      </c>
      <c r="N171" s="59" t="s">
        <v>256</v>
      </c>
      <c r="O171" s="60" t="s">
        <v>326</v>
      </c>
      <c r="P171" s="60" t="s">
        <v>210</v>
      </c>
      <c r="Q171" s="744">
        <f>10000000</f>
        <v>10000000</v>
      </c>
      <c r="R171" s="62"/>
      <c r="S171" s="63"/>
      <c r="T171" s="94" t="s">
        <v>187</v>
      </c>
      <c r="U171" s="811">
        <v>10000000</v>
      </c>
      <c r="V171" s="803">
        <v>3141600</v>
      </c>
      <c r="W171" s="827">
        <f t="shared" si="3"/>
        <v>-6858400</v>
      </c>
    </row>
    <row r="172" spans="2:23" x14ac:dyDescent="0.2">
      <c r="B172" s="199" t="s">
        <v>7</v>
      </c>
      <c r="C172" s="199" t="s">
        <v>20</v>
      </c>
      <c r="D172" s="199" t="s">
        <v>20</v>
      </c>
      <c r="E172" s="199" t="s">
        <v>20</v>
      </c>
      <c r="F172" s="199" t="s">
        <v>17</v>
      </c>
      <c r="G172" s="199"/>
      <c r="H172" s="199"/>
      <c r="I172" s="199"/>
      <c r="J172" s="199"/>
      <c r="K172" s="329"/>
      <c r="L172" s="233" t="s">
        <v>100</v>
      </c>
      <c r="M172" s="41"/>
      <c r="N172" s="41"/>
      <c r="O172" s="42"/>
      <c r="P172" s="42"/>
      <c r="Q172" s="741">
        <f>+Q173+Q177+Q180+Q184</f>
        <v>395090112</v>
      </c>
      <c r="R172" s="211"/>
      <c r="S172" s="211"/>
      <c r="T172" s="682"/>
      <c r="U172" s="810"/>
      <c r="V172" s="800"/>
      <c r="W172" s="826"/>
    </row>
    <row r="173" spans="2:23" x14ac:dyDescent="0.2">
      <c r="B173" s="45" t="s">
        <v>7</v>
      </c>
      <c r="C173" s="45" t="s">
        <v>20</v>
      </c>
      <c r="D173" s="45" t="s">
        <v>20</v>
      </c>
      <c r="E173" s="45" t="s">
        <v>20</v>
      </c>
      <c r="F173" s="45" t="s">
        <v>17</v>
      </c>
      <c r="G173" s="45" t="s">
        <v>10</v>
      </c>
      <c r="H173" s="45"/>
      <c r="I173" s="45"/>
      <c r="J173" s="45"/>
      <c r="K173" s="330"/>
      <c r="L173" s="234" t="s">
        <v>101</v>
      </c>
      <c r="M173" s="47"/>
      <c r="N173" s="47"/>
      <c r="O173" s="48"/>
      <c r="P173" s="48"/>
      <c r="Q173" s="742">
        <f>+Q174</f>
        <v>62280000</v>
      </c>
      <c r="R173" s="212"/>
      <c r="S173" s="212"/>
      <c r="T173" s="90"/>
      <c r="U173" s="810"/>
      <c r="V173" s="800"/>
      <c r="W173" s="826"/>
    </row>
    <row r="174" spans="2:23" x14ac:dyDescent="0.2">
      <c r="B174" s="51" t="s">
        <v>7</v>
      </c>
      <c r="C174" s="51" t="s">
        <v>20</v>
      </c>
      <c r="D174" s="51" t="s">
        <v>20</v>
      </c>
      <c r="E174" s="51" t="s">
        <v>20</v>
      </c>
      <c r="F174" s="51" t="s">
        <v>17</v>
      </c>
      <c r="G174" s="51" t="s">
        <v>10</v>
      </c>
      <c r="H174" s="51" t="s">
        <v>31</v>
      </c>
      <c r="I174" s="51"/>
      <c r="J174" s="51"/>
      <c r="K174" s="51"/>
      <c r="L174" s="235" t="s">
        <v>102</v>
      </c>
      <c r="M174" s="54"/>
      <c r="N174" s="54"/>
      <c r="O174" s="55"/>
      <c r="P174" s="55"/>
      <c r="Q174" s="743">
        <f>SUM(Q175+Q176)</f>
        <v>62280000</v>
      </c>
      <c r="R174" s="213"/>
      <c r="S174" s="213"/>
      <c r="T174" s="91"/>
      <c r="U174" s="810"/>
      <c r="V174" s="800"/>
      <c r="W174" s="826"/>
    </row>
    <row r="175" spans="2:23" ht="30" x14ac:dyDescent="0.2">
      <c r="B175" s="321"/>
      <c r="C175" s="93"/>
      <c r="D175" s="93"/>
      <c r="E175" s="93"/>
      <c r="F175" s="93"/>
      <c r="G175" s="93"/>
      <c r="H175" s="93"/>
      <c r="I175" s="93"/>
      <c r="J175" s="344"/>
      <c r="K175" s="706" t="s">
        <v>314</v>
      </c>
      <c r="L175" s="58" t="s">
        <v>406</v>
      </c>
      <c r="M175" s="59">
        <v>45000</v>
      </c>
      <c r="N175" s="59" t="s">
        <v>315</v>
      </c>
      <c r="O175" s="60" t="s">
        <v>338</v>
      </c>
      <c r="P175" s="60" t="s">
        <v>221</v>
      </c>
      <c r="Q175" s="744">
        <v>50000000</v>
      </c>
      <c r="R175" s="62"/>
      <c r="S175" s="63"/>
      <c r="T175" s="94" t="s">
        <v>163</v>
      </c>
      <c r="U175" s="811">
        <v>5000000</v>
      </c>
      <c r="V175" s="803"/>
      <c r="W175" s="827">
        <f t="shared" si="3"/>
        <v>-50000000</v>
      </c>
    </row>
    <row r="176" spans="2:23" ht="30" x14ac:dyDescent="0.2">
      <c r="B176" s="321"/>
      <c r="C176" s="93"/>
      <c r="D176" s="93"/>
      <c r="E176" s="93"/>
      <c r="F176" s="93"/>
      <c r="G176" s="93"/>
      <c r="H176" s="93"/>
      <c r="I176" s="93"/>
      <c r="J176" s="344"/>
      <c r="K176" s="328"/>
      <c r="L176" s="58" t="s">
        <v>106091</v>
      </c>
      <c r="M176" s="59">
        <v>44941</v>
      </c>
      <c r="N176" s="60" t="s">
        <v>231</v>
      </c>
      <c r="O176" s="60" t="s">
        <v>231</v>
      </c>
      <c r="P176" s="60" t="s">
        <v>231</v>
      </c>
      <c r="Q176" s="744">
        <f>40000000-30000000+2280000</f>
        <v>12280000</v>
      </c>
      <c r="R176" s="62"/>
      <c r="S176" s="63"/>
      <c r="T176" s="94" t="s">
        <v>163</v>
      </c>
      <c r="U176" s="811">
        <f>3000000+3480000+3520000+2280000</f>
        <v>12280000</v>
      </c>
      <c r="V176" s="803">
        <v>12280000</v>
      </c>
      <c r="W176" s="827">
        <f t="shared" si="3"/>
        <v>0</v>
      </c>
    </row>
    <row r="177" spans="2:23" ht="30" x14ac:dyDescent="0.2">
      <c r="B177" s="45" t="s">
        <v>7</v>
      </c>
      <c r="C177" s="45" t="s">
        <v>20</v>
      </c>
      <c r="D177" s="45" t="s">
        <v>20</v>
      </c>
      <c r="E177" s="45" t="s">
        <v>20</v>
      </c>
      <c r="F177" s="45" t="s">
        <v>17</v>
      </c>
      <c r="G177" s="45" t="s">
        <v>11</v>
      </c>
      <c r="H177" s="45"/>
      <c r="I177" s="45"/>
      <c r="J177" s="45"/>
      <c r="K177" s="330"/>
      <c r="L177" s="234" t="s">
        <v>128</v>
      </c>
      <c r="M177" s="47"/>
      <c r="N177" s="47"/>
      <c r="O177" s="48"/>
      <c r="P177" s="48"/>
      <c r="Q177" s="742">
        <f>+Q178</f>
        <v>30000000</v>
      </c>
      <c r="R177" s="212"/>
      <c r="S177" s="212"/>
      <c r="T177" s="90"/>
      <c r="U177" s="810"/>
      <c r="V177" s="800"/>
      <c r="W177" s="826"/>
    </row>
    <row r="178" spans="2:23" x14ac:dyDescent="0.2">
      <c r="B178" s="51" t="s">
        <v>7</v>
      </c>
      <c r="C178" s="51" t="s">
        <v>20</v>
      </c>
      <c r="D178" s="51" t="s">
        <v>20</v>
      </c>
      <c r="E178" s="51" t="s">
        <v>20</v>
      </c>
      <c r="F178" s="51" t="s">
        <v>17</v>
      </c>
      <c r="G178" s="51" t="s">
        <v>11</v>
      </c>
      <c r="H178" s="51" t="s">
        <v>8</v>
      </c>
      <c r="I178" s="51"/>
      <c r="J178" s="51"/>
      <c r="K178" s="51"/>
      <c r="L178" s="235" t="s">
        <v>129</v>
      </c>
      <c r="M178" s="54"/>
      <c r="N178" s="54"/>
      <c r="O178" s="55"/>
      <c r="P178" s="55"/>
      <c r="Q178" s="743">
        <f>+Q179</f>
        <v>30000000</v>
      </c>
      <c r="R178" s="213"/>
      <c r="S178" s="213"/>
      <c r="T178" s="91"/>
      <c r="U178" s="810"/>
      <c r="V178" s="800"/>
      <c r="W178" s="826"/>
    </row>
    <row r="179" spans="2:23" ht="44.25" customHeight="1" x14ac:dyDescent="0.2">
      <c r="B179" s="321"/>
      <c r="C179" s="93"/>
      <c r="D179" s="93"/>
      <c r="E179" s="93"/>
      <c r="F179" s="93"/>
      <c r="G179" s="93"/>
      <c r="H179" s="93"/>
      <c r="I179" s="93"/>
      <c r="J179" s="344"/>
      <c r="K179" s="706" t="s">
        <v>336</v>
      </c>
      <c r="L179" s="58" t="s">
        <v>337</v>
      </c>
      <c r="M179" s="59">
        <v>45000</v>
      </c>
      <c r="N179" s="59" t="s">
        <v>315</v>
      </c>
      <c r="O179" s="60" t="s">
        <v>338</v>
      </c>
      <c r="P179" s="3" t="s">
        <v>432</v>
      </c>
      <c r="Q179" s="744">
        <v>30000000</v>
      </c>
      <c r="R179" s="62"/>
      <c r="S179" s="63"/>
      <c r="T179" s="94" t="s">
        <v>401</v>
      </c>
      <c r="U179" s="811">
        <v>30000000</v>
      </c>
      <c r="V179" s="803">
        <v>22512000</v>
      </c>
      <c r="W179" s="827">
        <f t="shared" si="3"/>
        <v>-7488000</v>
      </c>
    </row>
    <row r="180" spans="2:23" ht="45" x14ac:dyDescent="0.2">
      <c r="B180" s="45" t="s">
        <v>7</v>
      </c>
      <c r="C180" s="45" t="s">
        <v>20</v>
      </c>
      <c r="D180" s="45" t="s">
        <v>20</v>
      </c>
      <c r="E180" s="45" t="s">
        <v>20</v>
      </c>
      <c r="F180" s="45" t="s">
        <v>17</v>
      </c>
      <c r="G180" s="45" t="s">
        <v>12</v>
      </c>
      <c r="H180" s="45"/>
      <c r="I180" s="45"/>
      <c r="J180" s="45"/>
      <c r="K180" s="330"/>
      <c r="L180" s="234" t="s">
        <v>130</v>
      </c>
      <c r="M180" s="47"/>
      <c r="N180" s="47"/>
      <c r="O180" s="48"/>
      <c r="P180" s="48"/>
      <c r="Q180" s="742">
        <f>+Q181</f>
        <v>227810112</v>
      </c>
      <c r="R180" s="212"/>
      <c r="S180" s="212"/>
      <c r="T180" s="90"/>
      <c r="U180" s="810"/>
      <c r="V180" s="800"/>
      <c r="W180" s="826"/>
    </row>
    <row r="181" spans="2:23" ht="30" x14ac:dyDescent="0.2">
      <c r="B181" s="51" t="s">
        <v>7</v>
      </c>
      <c r="C181" s="51" t="s">
        <v>20</v>
      </c>
      <c r="D181" s="51" t="s">
        <v>20</v>
      </c>
      <c r="E181" s="51" t="s">
        <v>20</v>
      </c>
      <c r="F181" s="51" t="s">
        <v>17</v>
      </c>
      <c r="G181" s="51" t="s">
        <v>12</v>
      </c>
      <c r="H181" s="51" t="s">
        <v>8</v>
      </c>
      <c r="I181" s="51"/>
      <c r="J181" s="51"/>
      <c r="K181" s="51"/>
      <c r="L181" s="235" t="s">
        <v>131</v>
      </c>
      <c r="M181" s="79"/>
      <c r="N181" s="79"/>
      <c r="O181" s="55"/>
      <c r="P181" s="55"/>
      <c r="Q181" s="745">
        <f>SUM(Q182+Q183)</f>
        <v>227810112</v>
      </c>
      <c r="R181" s="214"/>
      <c r="S181" s="214"/>
      <c r="T181" s="91"/>
      <c r="U181" s="810"/>
      <c r="V181" s="800"/>
      <c r="W181" s="826"/>
    </row>
    <row r="182" spans="2:23" ht="46.5" customHeight="1" x14ac:dyDescent="0.2">
      <c r="B182" s="321"/>
      <c r="C182" s="93"/>
      <c r="D182" s="93"/>
      <c r="E182" s="93"/>
      <c r="F182" s="93"/>
      <c r="G182" s="93"/>
      <c r="H182" s="93"/>
      <c r="I182" s="93"/>
      <c r="J182" s="344"/>
      <c r="K182" s="706" t="s">
        <v>106106</v>
      </c>
      <c r="L182" s="129" t="s">
        <v>106164</v>
      </c>
      <c r="M182" s="59">
        <v>44986</v>
      </c>
      <c r="N182" s="59" t="s">
        <v>290</v>
      </c>
      <c r="O182" s="60" t="s">
        <v>106096</v>
      </c>
      <c r="P182" s="60" t="s">
        <v>432</v>
      </c>
      <c r="Q182" s="744">
        <v>20000000</v>
      </c>
      <c r="R182" s="62"/>
      <c r="S182" s="97"/>
      <c r="T182" s="688" t="s">
        <v>166</v>
      </c>
      <c r="U182" s="812">
        <v>20000000</v>
      </c>
      <c r="V182" s="804">
        <v>20000000</v>
      </c>
      <c r="W182" s="827">
        <f t="shared" si="3"/>
        <v>0</v>
      </c>
    </row>
    <row r="183" spans="2:23" ht="23.25" customHeight="1" x14ac:dyDescent="0.2">
      <c r="B183" s="321"/>
      <c r="C183" s="93"/>
      <c r="D183" s="93"/>
      <c r="E183" s="93"/>
      <c r="F183" s="93"/>
      <c r="G183" s="93"/>
      <c r="H183" s="93"/>
      <c r="I183" s="93"/>
      <c r="J183" s="344"/>
      <c r="K183" s="706"/>
      <c r="L183" s="129" t="s">
        <v>190</v>
      </c>
      <c r="M183" s="59">
        <v>44928</v>
      </c>
      <c r="N183" s="59" t="s">
        <v>261</v>
      </c>
      <c r="O183" s="60" t="s">
        <v>202</v>
      </c>
      <c r="P183" s="60"/>
      <c r="Q183" s="744">
        <f>107810112+100000000</f>
        <v>207810112</v>
      </c>
      <c r="R183" s="795"/>
      <c r="S183" s="97"/>
      <c r="T183" s="688" t="s">
        <v>188</v>
      </c>
      <c r="U183" s="812">
        <v>89477279</v>
      </c>
      <c r="V183" s="804">
        <v>89477279</v>
      </c>
      <c r="W183" s="827">
        <f t="shared" si="3"/>
        <v>-118332833</v>
      </c>
    </row>
    <row r="184" spans="2:23" x14ac:dyDescent="0.2">
      <c r="B184" s="45" t="s">
        <v>7</v>
      </c>
      <c r="C184" s="45" t="s">
        <v>20</v>
      </c>
      <c r="D184" s="45" t="s">
        <v>20</v>
      </c>
      <c r="E184" s="45" t="s">
        <v>20</v>
      </c>
      <c r="F184" s="45" t="s">
        <v>17</v>
      </c>
      <c r="G184" s="45" t="s">
        <v>14</v>
      </c>
      <c r="H184" s="45"/>
      <c r="I184" s="45"/>
      <c r="J184" s="45"/>
      <c r="K184" s="330"/>
      <c r="L184" s="234" t="s">
        <v>103</v>
      </c>
      <c r="M184" s="47"/>
      <c r="N184" s="47"/>
      <c r="O184" s="48"/>
      <c r="P184" s="48"/>
      <c r="Q184" s="742">
        <f>+Q185</f>
        <v>75000000</v>
      </c>
      <c r="R184" s="212"/>
      <c r="S184" s="212"/>
      <c r="T184" s="90"/>
      <c r="U184" s="810"/>
      <c r="V184" s="800"/>
      <c r="W184" s="826"/>
    </row>
    <row r="185" spans="2:23" x14ac:dyDescent="0.2">
      <c r="B185" s="51" t="s">
        <v>7</v>
      </c>
      <c r="C185" s="51" t="s">
        <v>20</v>
      </c>
      <c r="D185" s="51" t="s">
        <v>20</v>
      </c>
      <c r="E185" s="51" t="s">
        <v>20</v>
      </c>
      <c r="F185" s="51" t="s">
        <v>17</v>
      </c>
      <c r="G185" s="51" t="s">
        <v>14</v>
      </c>
      <c r="H185" s="51" t="s">
        <v>31</v>
      </c>
      <c r="I185" s="51"/>
      <c r="J185" s="51"/>
      <c r="K185" s="51"/>
      <c r="L185" s="235" t="s">
        <v>104</v>
      </c>
      <c r="M185" s="54"/>
      <c r="N185" s="54"/>
      <c r="O185" s="55"/>
      <c r="P185" s="55"/>
      <c r="Q185" s="743">
        <f>+Q186</f>
        <v>75000000</v>
      </c>
      <c r="R185" s="213"/>
      <c r="S185" s="213"/>
      <c r="T185" s="91"/>
      <c r="U185" s="810"/>
      <c r="V185" s="800"/>
      <c r="W185" s="826"/>
    </row>
    <row r="186" spans="2:23" ht="32.25" customHeight="1" x14ac:dyDescent="0.2">
      <c r="B186" s="321"/>
      <c r="C186" s="93"/>
      <c r="D186" s="93"/>
      <c r="E186" s="93"/>
      <c r="F186" s="93"/>
      <c r="G186" s="93"/>
      <c r="H186" s="93"/>
      <c r="I186" s="93"/>
      <c r="J186" s="344"/>
      <c r="K186" s="328">
        <v>93141500</v>
      </c>
      <c r="L186" s="58" t="s">
        <v>162</v>
      </c>
      <c r="M186" s="59">
        <v>45214</v>
      </c>
      <c r="N186" s="59" t="s">
        <v>313</v>
      </c>
      <c r="O186" s="60" t="s">
        <v>371</v>
      </c>
      <c r="P186" s="60" t="s">
        <v>430</v>
      </c>
      <c r="Q186" s="744">
        <f>35000000+40000000</f>
        <v>75000000</v>
      </c>
      <c r="R186" s="62"/>
      <c r="S186" s="63"/>
      <c r="T186" s="94" t="s">
        <v>163</v>
      </c>
      <c r="U186" s="811"/>
      <c r="V186" s="803"/>
      <c r="W186" s="827">
        <f t="shared" si="3"/>
        <v>-75000000</v>
      </c>
    </row>
    <row r="187" spans="2:23" x14ac:dyDescent="0.2">
      <c r="B187" s="45" t="s">
        <v>7</v>
      </c>
      <c r="C187" s="45" t="s">
        <v>20</v>
      </c>
      <c r="D187" s="45" t="s">
        <v>20</v>
      </c>
      <c r="E187" s="45" t="s">
        <v>20</v>
      </c>
      <c r="F187" s="45" t="s">
        <v>18</v>
      </c>
      <c r="G187" s="45"/>
      <c r="H187" s="45"/>
      <c r="I187" s="45"/>
      <c r="J187" s="45"/>
      <c r="K187" s="330"/>
      <c r="L187" s="234" t="s">
        <v>19</v>
      </c>
      <c r="M187" s="47"/>
      <c r="N187" s="47"/>
      <c r="O187" s="48"/>
      <c r="P187" s="48"/>
      <c r="Q187" s="742">
        <f>+Q188</f>
        <v>68000000</v>
      </c>
      <c r="R187" s="212"/>
      <c r="S187" s="212"/>
      <c r="T187" s="90"/>
      <c r="U187" s="810"/>
      <c r="V187" s="800"/>
      <c r="W187" s="826"/>
    </row>
    <row r="188" spans="2:23" ht="18" customHeight="1" x14ac:dyDescent="0.2">
      <c r="B188" s="321"/>
      <c r="C188" s="93"/>
      <c r="D188" s="93"/>
      <c r="E188" s="93"/>
      <c r="F188" s="93"/>
      <c r="G188" s="93"/>
      <c r="H188" s="93"/>
      <c r="I188" s="93"/>
      <c r="J188" s="344"/>
      <c r="K188" s="303"/>
      <c r="L188" s="129" t="s">
        <v>19</v>
      </c>
      <c r="M188" s="59" t="s">
        <v>231</v>
      </c>
      <c r="N188" s="59" t="s">
        <v>231</v>
      </c>
      <c r="O188" s="60" t="s">
        <v>231</v>
      </c>
      <c r="P188" s="60" t="s">
        <v>231</v>
      </c>
      <c r="Q188" s="744">
        <f>50000000+18000000</f>
        <v>68000000</v>
      </c>
      <c r="R188" s="62"/>
      <c r="S188" s="63"/>
      <c r="T188" s="94" t="s">
        <v>163</v>
      </c>
      <c r="U188" s="811">
        <v>50000000</v>
      </c>
      <c r="V188" s="803">
        <v>49578245</v>
      </c>
      <c r="W188" s="827">
        <f t="shared" si="3"/>
        <v>-18421755</v>
      </c>
    </row>
    <row r="189" spans="2:23" ht="15.75" x14ac:dyDescent="0.2">
      <c r="B189" s="103" t="s">
        <v>7</v>
      </c>
      <c r="C189" s="103" t="s">
        <v>27</v>
      </c>
      <c r="D189" s="103"/>
      <c r="E189" s="103"/>
      <c r="F189" s="103"/>
      <c r="G189" s="103"/>
      <c r="H189" s="103"/>
      <c r="I189" s="103"/>
      <c r="J189" s="103"/>
      <c r="K189" s="332"/>
      <c r="L189" s="237" t="s">
        <v>105</v>
      </c>
      <c r="M189" s="772"/>
      <c r="N189" s="772"/>
      <c r="O189" s="773"/>
      <c r="P189" s="773"/>
      <c r="Q189" s="747">
        <f>+Q190</f>
        <v>9983000000</v>
      </c>
      <c r="R189" s="285">
        <v>9983000000</v>
      </c>
      <c r="S189" s="285">
        <f>+Q189-R189</f>
        <v>0</v>
      </c>
      <c r="T189" s="689"/>
      <c r="U189" s="813"/>
      <c r="V189" s="801"/>
      <c r="W189" s="826"/>
    </row>
    <row r="190" spans="2:23" ht="15.75" x14ac:dyDescent="0.2">
      <c r="B190" s="312" t="s">
        <v>7</v>
      </c>
      <c r="C190" s="312" t="s">
        <v>27</v>
      </c>
      <c r="D190" s="312" t="s">
        <v>8</v>
      </c>
      <c r="E190" s="312"/>
      <c r="F190" s="312"/>
      <c r="G190" s="312"/>
      <c r="H190" s="312"/>
      <c r="I190" s="312"/>
      <c r="J190" s="312"/>
      <c r="K190" s="333"/>
      <c r="L190" s="238" t="s">
        <v>105</v>
      </c>
      <c r="M190" s="774"/>
      <c r="N190" s="774"/>
      <c r="O190" s="775"/>
      <c r="P190" s="775"/>
      <c r="Q190" s="748">
        <f>+Q191+Q217</f>
        <v>9983000000</v>
      </c>
      <c r="R190" s="216"/>
      <c r="S190" s="216"/>
      <c r="T190" s="690"/>
      <c r="U190" s="809"/>
      <c r="V190" s="799"/>
      <c r="W190" s="826"/>
    </row>
    <row r="191" spans="2:23" ht="15.75" x14ac:dyDescent="0.2">
      <c r="B191" s="115" t="s">
        <v>7</v>
      </c>
      <c r="C191" s="115" t="s">
        <v>27</v>
      </c>
      <c r="D191" s="115" t="s">
        <v>8</v>
      </c>
      <c r="E191" s="115" t="s">
        <v>8</v>
      </c>
      <c r="F191" s="115"/>
      <c r="G191" s="115"/>
      <c r="H191" s="115"/>
      <c r="I191" s="115"/>
      <c r="J191" s="115"/>
      <c r="K191" s="334"/>
      <c r="L191" s="239" t="s">
        <v>47</v>
      </c>
      <c r="M191" s="117"/>
      <c r="N191" s="117"/>
      <c r="O191" s="118"/>
      <c r="P191" s="118"/>
      <c r="Q191" s="749">
        <f>+Q192+Q212</f>
        <v>956764801</v>
      </c>
      <c r="R191" s="217"/>
      <c r="S191" s="217"/>
      <c r="T191" s="691"/>
      <c r="U191" s="814"/>
      <c r="V191" s="802"/>
      <c r="W191" s="826"/>
    </row>
    <row r="192" spans="2:23" ht="30" x14ac:dyDescent="0.2">
      <c r="B192" s="199" t="s">
        <v>7</v>
      </c>
      <c r="C192" s="199" t="s">
        <v>27</v>
      </c>
      <c r="D192" s="199" t="s">
        <v>8</v>
      </c>
      <c r="E192" s="199" t="s">
        <v>8</v>
      </c>
      <c r="F192" s="199" t="s">
        <v>11</v>
      </c>
      <c r="G192" s="199"/>
      <c r="H192" s="199"/>
      <c r="I192" s="199"/>
      <c r="J192" s="199"/>
      <c r="K192" s="329"/>
      <c r="L192" s="233" t="s">
        <v>54</v>
      </c>
      <c r="M192" s="41"/>
      <c r="N192" s="41"/>
      <c r="O192" s="42"/>
      <c r="P192" s="42"/>
      <c r="Q192" s="741">
        <f>+Q193+Q196+Q199+Q203+Q209</f>
        <v>849501515</v>
      </c>
      <c r="R192" s="211"/>
      <c r="S192" s="211"/>
      <c r="T192" s="682"/>
      <c r="U192" s="810"/>
      <c r="V192" s="800"/>
      <c r="W192" s="826"/>
    </row>
    <row r="193" spans="2:23" ht="30" x14ac:dyDescent="0.2">
      <c r="B193" s="121" t="s">
        <v>7</v>
      </c>
      <c r="C193" s="121" t="s">
        <v>27</v>
      </c>
      <c r="D193" s="121" t="s">
        <v>8</v>
      </c>
      <c r="E193" s="121" t="s">
        <v>8</v>
      </c>
      <c r="F193" s="121" t="s">
        <v>11</v>
      </c>
      <c r="G193" s="121" t="s">
        <v>10</v>
      </c>
      <c r="H193" s="121"/>
      <c r="I193" s="121"/>
      <c r="J193" s="121"/>
      <c r="K193" s="335"/>
      <c r="L193" s="240" t="s">
        <v>55</v>
      </c>
      <c r="M193" s="123"/>
      <c r="N193" s="123"/>
      <c r="O193" s="124"/>
      <c r="P193" s="124"/>
      <c r="Q193" s="750">
        <f>+Q194</f>
        <v>25000000</v>
      </c>
      <c r="R193" s="218"/>
      <c r="S193" s="218"/>
      <c r="T193" s="692"/>
      <c r="U193" s="810"/>
      <c r="V193" s="800"/>
      <c r="W193" s="826"/>
    </row>
    <row r="194" spans="2:23" x14ac:dyDescent="0.2">
      <c r="B194" s="51" t="s">
        <v>7</v>
      </c>
      <c r="C194" s="51" t="s">
        <v>27</v>
      </c>
      <c r="D194" s="51" t="s">
        <v>8</v>
      </c>
      <c r="E194" s="51" t="s">
        <v>8</v>
      </c>
      <c r="F194" s="52" t="s">
        <v>11</v>
      </c>
      <c r="G194" s="52" t="s">
        <v>10</v>
      </c>
      <c r="H194" s="52" t="s">
        <v>8</v>
      </c>
      <c r="I194" s="51"/>
      <c r="J194" s="51"/>
      <c r="K194" s="51"/>
      <c r="L194" s="235" t="s">
        <v>56</v>
      </c>
      <c r="M194" s="54"/>
      <c r="N194" s="54"/>
      <c r="O194" s="55"/>
      <c r="P194" s="55"/>
      <c r="Q194" s="743">
        <f>+Q195</f>
        <v>25000000</v>
      </c>
      <c r="R194" s="213"/>
      <c r="S194" s="213"/>
      <c r="T194" s="91"/>
      <c r="U194" s="810"/>
      <c r="V194" s="800"/>
      <c r="W194" s="826"/>
    </row>
    <row r="195" spans="2:23" ht="52.5" customHeight="1" x14ac:dyDescent="0.2">
      <c r="B195" s="321"/>
      <c r="C195" s="93"/>
      <c r="D195" s="93"/>
      <c r="E195" s="93"/>
      <c r="F195" s="93"/>
      <c r="G195" s="93"/>
      <c r="H195" s="93"/>
      <c r="I195" s="93"/>
      <c r="J195" s="344"/>
      <c r="K195" s="706" t="s">
        <v>287</v>
      </c>
      <c r="L195" s="58" t="s">
        <v>165</v>
      </c>
      <c r="M195" s="59">
        <v>45015</v>
      </c>
      <c r="N195" s="59" t="s">
        <v>290</v>
      </c>
      <c r="O195" s="60" t="s">
        <v>106096</v>
      </c>
      <c r="P195" s="60" t="s">
        <v>219</v>
      </c>
      <c r="Q195" s="744">
        <v>25000000</v>
      </c>
      <c r="R195" s="62"/>
      <c r="S195" s="97"/>
      <c r="T195" s="94" t="s">
        <v>167</v>
      </c>
      <c r="U195" s="811">
        <v>25000000</v>
      </c>
      <c r="V195" s="803">
        <v>25000000</v>
      </c>
      <c r="W195" s="827">
        <f t="shared" si="3"/>
        <v>0</v>
      </c>
    </row>
    <row r="196" spans="2:23" ht="30" x14ac:dyDescent="0.2">
      <c r="B196" s="121" t="s">
        <v>7</v>
      </c>
      <c r="C196" s="121" t="s">
        <v>27</v>
      </c>
      <c r="D196" s="121" t="s">
        <v>8</v>
      </c>
      <c r="E196" s="121" t="s">
        <v>8</v>
      </c>
      <c r="F196" s="121" t="s">
        <v>11</v>
      </c>
      <c r="G196" s="121" t="s">
        <v>11</v>
      </c>
      <c r="H196" s="121"/>
      <c r="I196" s="121"/>
      <c r="J196" s="121"/>
      <c r="K196" s="335"/>
      <c r="L196" s="240" t="s">
        <v>57</v>
      </c>
      <c r="M196" s="123"/>
      <c r="N196" s="123"/>
      <c r="O196" s="124"/>
      <c r="P196" s="124"/>
      <c r="Q196" s="750">
        <f>+Q197</f>
        <v>100000000</v>
      </c>
      <c r="R196" s="218"/>
      <c r="S196" s="218"/>
      <c r="T196" s="692"/>
      <c r="U196" s="810"/>
      <c r="V196" s="800"/>
      <c r="W196" s="826"/>
    </row>
    <row r="197" spans="2:23" ht="60" x14ac:dyDescent="0.2">
      <c r="B197" s="51" t="s">
        <v>7</v>
      </c>
      <c r="C197" s="51" t="s">
        <v>27</v>
      </c>
      <c r="D197" s="51" t="s">
        <v>8</v>
      </c>
      <c r="E197" s="51" t="s">
        <v>8</v>
      </c>
      <c r="F197" s="52" t="s">
        <v>11</v>
      </c>
      <c r="G197" s="52" t="s">
        <v>11</v>
      </c>
      <c r="H197" s="52" t="s">
        <v>23</v>
      </c>
      <c r="I197" s="51"/>
      <c r="J197" s="51"/>
      <c r="K197" s="51"/>
      <c r="L197" s="235" t="s">
        <v>171</v>
      </c>
      <c r="M197" s="54"/>
      <c r="N197" s="54"/>
      <c r="O197" s="55"/>
      <c r="P197" s="55"/>
      <c r="Q197" s="743">
        <f>+Q198</f>
        <v>100000000</v>
      </c>
      <c r="R197" s="213"/>
      <c r="S197" s="213"/>
      <c r="T197" s="91"/>
      <c r="U197" s="810"/>
      <c r="V197" s="800"/>
      <c r="W197" s="826"/>
    </row>
    <row r="198" spans="2:23" ht="60" x14ac:dyDescent="0.2">
      <c r="B198" s="321"/>
      <c r="C198" s="93"/>
      <c r="D198" s="93"/>
      <c r="E198" s="93"/>
      <c r="F198" s="93"/>
      <c r="G198" s="93"/>
      <c r="H198" s="93"/>
      <c r="I198" s="93"/>
      <c r="J198" s="93"/>
      <c r="K198" s="707">
        <v>15101500</v>
      </c>
      <c r="L198" s="129" t="s">
        <v>106165</v>
      </c>
      <c r="M198" s="59">
        <v>44959</v>
      </c>
      <c r="N198" s="59" t="s">
        <v>256</v>
      </c>
      <c r="O198" s="60" t="s">
        <v>106034</v>
      </c>
      <c r="P198" s="60" t="s">
        <v>425</v>
      </c>
      <c r="Q198" s="744">
        <v>100000000</v>
      </c>
      <c r="R198" s="62"/>
      <c r="S198" s="97"/>
      <c r="T198" s="94" t="s">
        <v>166</v>
      </c>
      <c r="U198" s="811">
        <v>100000000</v>
      </c>
      <c r="V198" s="803">
        <v>100000000</v>
      </c>
      <c r="W198" s="827">
        <f t="shared" si="3"/>
        <v>0</v>
      </c>
    </row>
    <row r="199" spans="2:23" ht="30" x14ac:dyDescent="0.2">
      <c r="B199" s="121" t="s">
        <v>7</v>
      </c>
      <c r="C199" s="121" t="s">
        <v>27</v>
      </c>
      <c r="D199" s="121" t="s">
        <v>8</v>
      </c>
      <c r="E199" s="121" t="s">
        <v>8</v>
      </c>
      <c r="F199" s="121" t="s">
        <v>11</v>
      </c>
      <c r="G199" s="128" t="s">
        <v>13</v>
      </c>
      <c r="H199" s="121"/>
      <c r="I199" s="121"/>
      <c r="J199" s="121"/>
      <c r="K199" s="335"/>
      <c r="L199" s="240" t="s">
        <v>59</v>
      </c>
      <c r="M199" s="123"/>
      <c r="N199" s="123"/>
      <c r="O199" s="124"/>
      <c r="P199" s="124"/>
      <c r="Q199" s="750">
        <f>+Q200</f>
        <v>85000000</v>
      </c>
      <c r="R199" s="218"/>
      <c r="S199" s="218"/>
      <c r="T199" s="692"/>
      <c r="U199" s="810"/>
      <c r="V199" s="800"/>
      <c r="W199" s="826"/>
    </row>
    <row r="200" spans="2:23" x14ac:dyDescent="0.2">
      <c r="B200" s="51" t="s">
        <v>7</v>
      </c>
      <c r="C200" s="51" t="s">
        <v>27</v>
      </c>
      <c r="D200" s="51" t="s">
        <v>8</v>
      </c>
      <c r="E200" s="51" t="s">
        <v>8</v>
      </c>
      <c r="F200" s="51" t="s">
        <v>11</v>
      </c>
      <c r="G200" s="51" t="s">
        <v>13</v>
      </c>
      <c r="H200" s="74" t="s">
        <v>20</v>
      </c>
      <c r="I200" s="51"/>
      <c r="J200" s="51"/>
      <c r="K200" s="51"/>
      <c r="L200" s="236" t="s">
        <v>124</v>
      </c>
      <c r="M200" s="54"/>
      <c r="N200" s="54"/>
      <c r="O200" s="55"/>
      <c r="P200" s="55"/>
      <c r="Q200" s="743">
        <f>SUM(Q201+Q202)</f>
        <v>85000000</v>
      </c>
      <c r="R200" s="213"/>
      <c r="S200" s="213"/>
      <c r="T200" s="91"/>
      <c r="U200" s="810"/>
      <c r="V200" s="800"/>
      <c r="W200" s="826"/>
    </row>
    <row r="201" spans="2:23" ht="38.25" customHeight="1" x14ac:dyDescent="0.2">
      <c r="B201" s="322"/>
      <c r="C201" s="301"/>
      <c r="D201" s="301"/>
      <c r="E201" s="301"/>
      <c r="F201" s="301"/>
      <c r="G201" s="301"/>
      <c r="H201" s="301"/>
      <c r="I201" s="301"/>
      <c r="J201" s="307"/>
      <c r="K201" s="706">
        <v>44103100</v>
      </c>
      <c r="L201" s="129" t="s">
        <v>106097</v>
      </c>
      <c r="M201" s="59">
        <v>44958</v>
      </c>
      <c r="N201" s="59" t="s">
        <v>259</v>
      </c>
      <c r="O201" s="60" t="s">
        <v>338</v>
      </c>
      <c r="P201" s="60" t="s">
        <v>426</v>
      </c>
      <c r="Q201" s="744">
        <v>25000000</v>
      </c>
      <c r="R201" s="62"/>
      <c r="S201" s="63"/>
      <c r="T201" s="94" t="s">
        <v>167</v>
      </c>
      <c r="U201" s="811">
        <v>25000000</v>
      </c>
      <c r="V201" s="803">
        <v>24896958.93</v>
      </c>
      <c r="W201" s="827">
        <f t="shared" si="3"/>
        <v>-103041.0700000003</v>
      </c>
    </row>
    <row r="202" spans="2:23" ht="30" customHeight="1" x14ac:dyDescent="0.2">
      <c r="B202" s="322"/>
      <c r="C202" s="705"/>
      <c r="D202" s="705"/>
      <c r="E202" s="705"/>
      <c r="F202" s="705"/>
      <c r="G202" s="705"/>
      <c r="H202" s="705"/>
      <c r="I202" s="705"/>
      <c r="J202" s="307"/>
      <c r="K202" s="706" t="s">
        <v>327</v>
      </c>
      <c r="L202" s="129" t="s">
        <v>413</v>
      </c>
      <c r="M202" s="59">
        <v>45061</v>
      </c>
      <c r="N202" s="59" t="s">
        <v>438</v>
      </c>
      <c r="O202" s="60" t="s">
        <v>328</v>
      </c>
      <c r="P202" s="60" t="s">
        <v>426</v>
      </c>
      <c r="Q202" s="744">
        <v>60000000</v>
      </c>
      <c r="R202" s="62"/>
      <c r="S202" s="63"/>
      <c r="T202" s="94" t="s">
        <v>401</v>
      </c>
      <c r="U202" s="811">
        <v>60000000</v>
      </c>
      <c r="V202" s="803">
        <v>41018751.600000001</v>
      </c>
      <c r="W202" s="827">
        <f t="shared" si="3"/>
        <v>-18981248.399999999</v>
      </c>
    </row>
    <row r="203" spans="2:23" x14ac:dyDescent="0.2">
      <c r="B203" s="121" t="s">
        <v>7</v>
      </c>
      <c r="C203" s="121" t="s">
        <v>27</v>
      </c>
      <c r="D203" s="121" t="s">
        <v>8</v>
      </c>
      <c r="E203" s="121" t="s">
        <v>8</v>
      </c>
      <c r="F203" s="121" t="s">
        <v>11</v>
      </c>
      <c r="G203" s="128" t="s">
        <v>14</v>
      </c>
      <c r="H203" s="121"/>
      <c r="I203" s="121"/>
      <c r="J203" s="121"/>
      <c r="K203" s="335"/>
      <c r="L203" s="240" t="s">
        <v>61</v>
      </c>
      <c r="M203" s="123"/>
      <c r="N203" s="123"/>
      <c r="O203" s="124"/>
      <c r="P203" s="124"/>
      <c r="Q203" s="750">
        <f>+Q204+Q207</f>
        <v>439501515</v>
      </c>
      <c r="R203" s="218"/>
      <c r="S203" s="218"/>
      <c r="T203" s="692"/>
      <c r="U203" s="810"/>
      <c r="V203" s="800"/>
      <c r="W203" s="826"/>
    </row>
    <row r="204" spans="2:23" x14ac:dyDescent="0.2">
      <c r="B204" s="51" t="s">
        <v>7</v>
      </c>
      <c r="C204" s="51" t="s">
        <v>27</v>
      </c>
      <c r="D204" s="51" t="s">
        <v>8</v>
      </c>
      <c r="E204" s="51" t="s">
        <v>8</v>
      </c>
      <c r="F204" s="51" t="s">
        <v>11</v>
      </c>
      <c r="G204" s="74" t="s">
        <v>14</v>
      </c>
      <c r="H204" s="74" t="s">
        <v>23</v>
      </c>
      <c r="I204" s="51"/>
      <c r="J204" s="51"/>
      <c r="K204" s="51"/>
      <c r="L204" s="235" t="s">
        <v>64</v>
      </c>
      <c r="M204" s="54"/>
      <c r="N204" s="54"/>
      <c r="O204" s="55"/>
      <c r="P204" s="55"/>
      <c r="Q204" s="743">
        <f>SUM(Q205+Q206)</f>
        <v>129501515</v>
      </c>
      <c r="R204" s="213"/>
      <c r="S204" s="213"/>
      <c r="T204" s="91"/>
      <c r="U204" s="810"/>
      <c r="V204" s="800"/>
      <c r="W204" s="826"/>
    </row>
    <row r="205" spans="2:23" ht="38.25" customHeight="1" x14ac:dyDescent="0.2">
      <c r="B205" s="321"/>
      <c r="C205" s="93"/>
      <c r="D205" s="93"/>
      <c r="E205" s="93"/>
      <c r="F205" s="93"/>
      <c r="G205" s="93"/>
      <c r="H205" s="93"/>
      <c r="I205" s="93"/>
      <c r="J205" s="344"/>
      <c r="K205" s="706" t="s">
        <v>330</v>
      </c>
      <c r="L205" s="129" t="s">
        <v>331</v>
      </c>
      <c r="M205" s="59">
        <v>45108</v>
      </c>
      <c r="N205" s="59" t="s">
        <v>367</v>
      </c>
      <c r="O205" s="60" t="s">
        <v>329</v>
      </c>
      <c r="P205" s="60" t="s">
        <v>333</v>
      </c>
      <c r="Q205" s="744">
        <f>120000000-36235199</f>
        <v>83764801</v>
      </c>
      <c r="R205" s="62"/>
      <c r="S205" s="63"/>
      <c r="T205" s="94" t="s">
        <v>401</v>
      </c>
      <c r="U205" s="811">
        <v>83764801</v>
      </c>
      <c r="V205" s="803"/>
      <c r="W205" s="827">
        <f t="shared" si="3"/>
        <v>-83764801</v>
      </c>
    </row>
    <row r="206" spans="2:23" ht="38.25" customHeight="1" x14ac:dyDescent="0.2">
      <c r="B206" s="322"/>
      <c r="C206" s="301"/>
      <c r="D206" s="301"/>
      <c r="E206" s="301"/>
      <c r="F206" s="301"/>
      <c r="G206" s="301"/>
      <c r="H206" s="301"/>
      <c r="I206" s="301"/>
      <c r="J206" s="307"/>
      <c r="K206" s="715" t="s">
        <v>106208</v>
      </c>
      <c r="L206" s="129" t="s">
        <v>335</v>
      </c>
      <c r="M206" s="59">
        <v>45031</v>
      </c>
      <c r="N206" s="59" t="s">
        <v>106026</v>
      </c>
      <c r="O206" s="60" t="s">
        <v>332</v>
      </c>
      <c r="P206" s="60" t="s">
        <v>219</v>
      </c>
      <c r="Q206" s="744">
        <f>100000000-40000000-14263286</f>
        <v>45736714</v>
      </c>
      <c r="R206" s="62"/>
      <c r="S206" s="63"/>
      <c r="T206" s="94" t="s">
        <v>401</v>
      </c>
      <c r="U206" s="811">
        <v>45366013</v>
      </c>
      <c r="V206" s="803">
        <v>32993464</v>
      </c>
      <c r="W206" s="827">
        <f t="shared" si="3"/>
        <v>-12743250</v>
      </c>
    </row>
    <row r="207" spans="2:23" x14ac:dyDescent="0.2">
      <c r="B207" s="51" t="s">
        <v>7</v>
      </c>
      <c r="C207" s="51" t="s">
        <v>27</v>
      </c>
      <c r="D207" s="51" t="s">
        <v>8</v>
      </c>
      <c r="E207" s="51" t="s">
        <v>8</v>
      </c>
      <c r="F207" s="51" t="s">
        <v>11</v>
      </c>
      <c r="G207" s="74" t="s">
        <v>14</v>
      </c>
      <c r="H207" s="74" t="s">
        <v>31</v>
      </c>
      <c r="I207" s="51"/>
      <c r="J207" s="51"/>
      <c r="K207" s="51"/>
      <c r="L207" s="236" t="s">
        <v>249</v>
      </c>
      <c r="M207" s="54"/>
      <c r="N207" s="54"/>
      <c r="O207" s="55"/>
      <c r="P207" s="55"/>
      <c r="Q207" s="743">
        <f>+Q208</f>
        <v>310000000</v>
      </c>
      <c r="R207" s="213"/>
      <c r="S207" s="213"/>
      <c r="T207" s="91"/>
      <c r="U207" s="810"/>
      <c r="V207" s="800"/>
      <c r="W207" s="826"/>
    </row>
    <row r="208" spans="2:23" ht="30" x14ac:dyDescent="0.2">
      <c r="B208" s="322"/>
      <c r="C208" s="301"/>
      <c r="D208" s="301"/>
      <c r="E208" s="301"/>
      <c r="F208" s="301"/>
      <c r="G208" s="301"/>
      <c r="H208" s="301"/>
      <c r="I208" s="301"/>
      <c r="J208" s="307"/>
      <c r="K208" s="709">
        <v>47121700</v>
      </c>
      <c r="L208" s="575" t="s">
        <v>385</v>
      </c>
      <c r="M208" s="2">
        <v>45027</v>
      </c>
      <c r="N208" s="2" t="s">
        <v>438</v>
      </c>
      <c r="O208" s="3" t="s">
        <v>106142</v>
      </c>
      <c r="P208" s="3" t="s">
        <v>333</v>
      </c>
      <c r="Q208" s="744">
        <v>310000000</v>
      </c>
      <c r="R208" s="62"/>
      <c r="S208" s="63"/>
      <c r="T208" s="94" t="s">
        <v>401</v>
      </c>
      <c r="U208" s="811">
        <v>310000000</v>
      </c>
      <c r="V208" s="803">
        <v>266500140</v>
      </c>
      <c r="W208" s="827">
        <f t="shared" si="3"/>
        <v>-43499860</v>
      </c>
    </row>
    <row r="209" spans="2:23" ht="30" x14ac:dyDescent="0.2">
      <c r="B209" s="121" t="s">
        <v>7</v>
      </c>
      <c r="C209" s="121" t="s">
        <v>27</v>
      </c>
      <c r="D209" s="121" t="s">
        <v>8</v>
      </c>
      <c r="E209" s="121" t="s">
        <v>8</v>
      </c>
      <c r="F209" s="121" t="s">
        <v>11</v>
      </c>
      <c r="G209" s="121" t="s">
        <v>15</v>
      </c>
      <c r="H209" s="121"/>
      <c r="I209" s="121"/>
      <c r="J209" s="121"/>
      <c r="K209" s="335"/>
      <c r="L209" s="240" t="s">
        <v>65</v>
      </c>
      <c r="M209" s="123"/>
      <c r="N209" s="123"/>
      <c r="O209" s="124"/>
      <c r="P209" s="124"/>
      <c r="Q209" s="750">
        <f>+Q210</f>
        <v>200000000</v>
      </c>
      <c r="R209" s="218"/>
      <c r="S209" s="218"/>
      <c r="T209" s="692"/>
      <c r="U209" s="810"/>
      <c r="V209" s="800"/>
      <c r="W209" s="826"/>
    </row>
    <row r="210" spans="2:23" x14ac:dyDescent="0.2">
      <c r="B210" s="51" t="s">
        <v>7</v>
      </c>
      <c r="C210" s="51" t="s">
        <v>27</v>
      </c>
      <c r="D210" s="51" t="s">
        <v>8</v>
      </c>
      <c r="E210" s="51" t="s">
        <v>8</v>
      </c>
      <c r="F210" s="51" t="s">
        <v>11</v>
      </c>
      <c r="G210" s="51" t="s">
        <v>15</v>
      </c>
      <c r="H210" s="51" t="s">
        <v>8</v>
      </c>
      <c r="I210" s="51"/>
      <c r="J210" s="51"/>
      <c r="K210" s="51"/>
      <c r="L210" s="235" t="s">
        <v>66</v>
      </c>
      <c r="M210" s="54"/>
      <c r="N210" s="54"/>
      <c r="O210" s="55"/>
      <c r="P210" s="55"/>
      <c r="Q210" s="743">
        <f>+Q211</f>
        <v>200000000</v>
      </c>
      <c r="R210" s="213"/>
      <c r="S210" s="213"/>
      <c r="T210" s="91"/>
      <c r="U210" s="810"/>
      <c r="V210" s="800"/>
      <c r="W210" s="826"/>
    </row>
    <row r="211" spans="2:23" ht="45" x14ac:dyDescent="0.2">
      <c r="B211" s="321"/>
      <c r="C211" s="93"/>
      <c r="D211" s="93"/>
      <c r="E211" s="93"/>
      <c r="F211" s="93"/>
      <c r="G211" s="93"/>
      <c r="H211" s="93"/>
      <c r="I211" s="93"/>
      <c r="J211" s="344"/>
      <c r="K211" s="706">
        <v>30171600</v>
      </c>
      <c r="L211" s="129" t="s">
        <v>293</v>
      </c>
      <c r="M211" s="59">
        <v>44941</v>
      </c>
      <c r="N211" s="59" t="s">
        <v>259</v>
      </c>
      <c r="O211" s="60" t="s">
        <v>319</v>
      </c>
      <c r="P211" s="60" t="s">
        <v>425</v>
      </c>
      <c r="Q211" s="744">
        <v>200000000</v>
      </c>
      <c r="R211" s="62"/>
      <c r="S211" s="63"/>
      <c r="T211" s="94" t="s">
        <v>166</v>
      </c>
      <c r="U211" s="811">
        <v>200000000</v>
      </c>
      <c r="V211" s="803">
        <v>200000000</v>
      </c>
      <c r="W211" s="827">
        <f t="shared" si="3"/>
        <v>0</v>
      </c>
    </row>
    <row r="212" spans="2:23" x14ac:dyDescent="0.2">
      <c r="B212" s="199" t="s">
        <v>7</v>
      </c>
      <c r="C212" s="199" t="s">
        <v>27</v>
      </c>
      <c r="D212" s="199" t="s">
        <v>8</v>
      </c>
      <c r="E212" s="199" t="s">
        <v>8</v>
      </c>
      <c r="F212" s="820" t="s">
        <v>12</v>
      </c>
      <c r="G212" s="199"/>
      <c r="H212" s="199"/>
      <c r="I212" s="199"/>
      <c r="J212" s="199"/>
      <c r="K212" s="329"/>
      <c r="L212" s="233" t="s">
        <v>106209</v>
      </c>
      <c r="M212" s="41"/>
      <c r="N212" s="41"/>
      <c r="O212" s="42"/>
      <c r="P212" s="42"/>
      <c r="Q212" s="741">
        <f>+Q213+Q215</f>
        <v>107263286</v>
      </c>
      <c r="R212" s="211"/>
      <c r="S212" s="211"/>
      <c r="T212" s="682"/>
      <c r="U212" s="810"/>
      <c r="V212" s="800"/>
      <c r="W212" s="826"/>
    </row>
    <row r="213" spans="2:23" ht="30" x14ac:dyDescent="0.2">
      <c r="B213" s="121" t="s">
        <v>7</v>
      </c>
      <c r="C213" s="121" t="s">
        <v>27</v>
      </c>
      <c r="D213" s="121" t="s">
        <v>8</v>
      </c>
      <c r="E213" s="121" t="s">
        <v>8</v>
      </c>
      <c r="F213" s="121" t="s">
        <v>12</v>
      </c>
      <c r="G213" s="121" t="s">
        <v>10</v>
      </c>
      <c r="H213" s="121"/>
      <c r="I213" s="121"/>
      <c r="J213" s="121"/>
      <c r="K213" s="335"/>
      <c r="L213" s="240" t="s">
        <v>68</v>
      </c>
      <c r="M213" s="123"/>
      <c r="N213" s="123"/>
      <c r="O213" s="124"/>
      <c r="P213" s="124"/>
      <c r="Q213" s="750">
        <f>+Q214</f>
        <v>54263286</v>
      </c>
      <c r="R213" s="218"/>
      <c r="S213" s="218"/>
      <c r="T213" s="692"/>
      <c r="U213" s="810"/>
      <c r="V213" s="800"/>
      <c r="W213" s="826"/>
    </row>
    <row r="214" spans="2:23" ht="39" customHeight="1" x14ac:dyDescent="0.2">
      <c r="B214" s="321"/>
      <c r="C214" s="93"/>
      <c r="D214" s="93"/>
      <c r="E214" s="93"/>
      <c r="F214" s="93"/>
      <c r="G214" s="93"/>
      <c r="H214" s="93"/>
      <c r="I214" s="93"/>
      <c r="J214" s="344"/>
      <c r="K214" s="715" t="s">
        <v>106208</v>
      </c>
      <c r="L214" s="129" t="s">
        <v>335</v>
      </c>
      <c r="M214" s="59">
        <v>45031</v>
      </c>
      <c r="N214" s="59" t="s">
        <v>106026</v>
      </c>
      <c r="O214" s="60" t="s">
        <v>332</v>
      </c>
      <c r="P214" s="60" t="s">
        <v>219</v>
      </c>
      <c r="Q214" s="744">
        <f>40000000+14263286</f>
        <v>54263286</v>
      </c>
      <c r="R214" s="62"/>
      <c r="S214" s="63"/>
      <c r="T214" s="94" t="s">
        <v>166</v>
      </c>
      <c r="U214" s="811">
        <v>54263286</v>
      </c>
      <c r="V214" s="803">
        <v>39464208</v>
      </c>
      <c r="W214" s="827">
        <f t="shared" ref="W214:W216" si="4">+V214-Q214</f>
        <v>-14799078</v>
      </c>
    </row>
    <row r="215" spans="2:23" x14ac:dyDescent="0.2">
      <c r="B215" s="121" t="s">
        <v>7</v>
      </c>
      <c r="C215" s="121" t="s">
        <v>27</v>
      </c>
      <c r="D215" s="121" t="s">
        <v>8</v>
      </c>
      <c r="E215" s="121" t="s">
        <v>8</v>
      </c>
      <c r="F215" s="121" t="s">
        <v>12</v>
      </c>
      <c r="G215" s="128" t="s">
        <v>14</v>
      </c>
      <c r="H215" s="121"/>
      <c r="I215" s="121"/>
      <c r="J215" s="121"/>
      <c r="K215" s="335"/>
      <c r="L215" s="240" t="s">
        <v>106217</v>
      </c>
      <c r="M215" s="123"/>
      <c r="N215" s="123"/>
      <c r="O215" s="124"/>
      <c r="P215" s="124"/>
      <c r="Q215" s="750">
        <f>+Q216</f>
        <v>53000000</v>
      </c>
      <c r="R215" s="218"/>
      <c r="S215" s="218"/>
      <c r="T215" s="692"/>
      <c r="U215" s="810"/>
      <c r="V215" s="800"/>
      <c r="W215" s="826"/>
    </row>
    <row r="216" spans="2:23" ht="45" x14ac:dyDescent="0.2">
      <c r="B216" s="321"/>
      <c r="C216" s="93"/>
      <c r="D216" s="93"/>
      <c r="E216" s="93"/>
      <c r="F216" s="93"/>
      <c r="G216" s="93"/>
      <c r="H216" s="93"/>
      <c r="I216" s="93"/>
      <c r="J216" s="344"/>
      <c r="K216" s="715">
        <v>46171619</v>
      </c>
      <c r="L216" s="129" t="s">
        <v>106218</v>
      </c>
      <c r="M216" s="59">
        <v>45076</v>
      </c>
      <c r="N216" s="59" t="s">
        <v>361</v>
      </c>
      <c r="O216" s="60" t="s">
        <v>371</v>
      </c>
      <c r="P216" s="60" t="s">
        <v>106057</v>
      </c>
      <c r="Q216" s="744">
        <v>53000000</v>
      </c>
      <c r="R216" s="62"/>
      <c r="S216" s="63"/>
      <c r="T216" s="94" t="s">
        <v>166</v>
      </c>
      <c r="U216" s="811">
        <v>53000000</v>
      </c>
      <c r="V216" s="803"/>
      <c r="W216" s="827">
        <f t="shared" si="4"/>
        <v>-53000000</v>
      </c>
    </row>
    <row r="217" spans="2:23" ht="15.75" x14ac:dyDescent="0.2">
      <c r="B217" s="115" t="s">
        <v>7</v>
      </c>
      <c r="C217" s="115" t="s">
        <v>27</v>
      </c>
      <c r="D217" s="115" t="s">
        <v>8</v>
      </c>
      <c r="E217" s="115" t="s">
        <v>20</v>
      </c>
      <c r="F217" s="115"/>
      <c r="G217" s="115"/>
      <c r="H217" s="115"/>
      <c r="I217" s="115"/>
      <c r="J217" s="115"/>
      <c r="K217" s="334">
        <v>30171700</v>
      </c>
      <c r="L217" s="239" t="s">
        <v>69</v>
      </c>
      <c r="M217" s="117"/>
      <c r="N217" s="117"/>
      <c r="O217" s="118"/>
      <c r="P217" s="118"/>
      <c r="Q217" s="749">
        <f>SUM(Q218+Q240+Q244+Q253)</f>
        <v>9026235199</v>
      </c>
      <c r="R217" s="217"/>
      <c r="S217" s="217"/>
      <c r="T217" s="691"/>
      <c r="U217" s="814"/>
      <c r="V217" s="802"/>
      <c r="W217" s="826"/>
    </row>
    <row r="218" spans="2:23" x14ac:dyDescent="0.2">
      <c r="B218" s="199" t="s">
        <v>7</v>
      </c>
      <c r="C218" s="199" t="s">
        <v>27</v>
      </c>
      <c r="D218" s="199" t="s">
        <v>8</v>
      </c>
      <c r="E218" s="199" t="s">
        <v>20</v>
      </c>
      <c r="F218" s="199" t="s">
        <v>13</v>
      </c>
      <c r="G218" s="199"/>
      <c r="H218" s="199"/>
      <c r="I218" s="199"/>
      <c r="J218" s="199"/>
      <c r="K218" s="329">
        <v>75153000</v>
      </c>
      <c r="L218" s="233" t="s">
        <v>70</v>
      </c>
      <c r="M218" s="41"/>
      <c r="N218" s="41"/>
      <c r="O218" s="42"/>
      <c r="P218" s="42"/>
      <c r="Q218" s="741">
        <f>+Q219</f>
        <v>6322045320</v>
      </c>
      <c r="R218" s="211"/>
      <c r="S218" s="211"/>
      <c r="T218" s="682"/>
      <c r="U218" s="810"/>
      <c r="V218" s="800"/>
      <c r="W218" s="826"/>
    </row>
    <row r="219" spans="2:23" x14ac:dyDescent="0.2">
      <c r="B219" s="121" t="s">
        <v>7</v>
      </c>
      <c r="C219" s="121" t="s">
        <v>27</v>
      </c>
      <c r="D219" s="121" t="s">
        <v>8</v>
      </c>
      <c r="E219" s="121" t="s">
        <v>20</v>
      </c>
      <c r="F219" s="121" t="s">
        <v>13</v>
      </c>
      <c r="G219" s="121" t="s">
        <v>12</v>
      </c>
      <c r="H219" s="121"/>
      <c r="I219" s="121"/>
      <c r="J219" s="121"/>
      <c r="K219" s="335"/>
      <c r="L219" s="316" t="s">
        <v>71</v>
      </c>
      <c r="M219" s="123"/>
      <c r="N219" s="123"/>
      <c r="O219" s="124"/>
      <c r="P219" s="124"/>
      <c r="Q219" s="750">
        <f>+Q220+Q232+Q235</f>
        <v>6322045320</v>
      </c>
      <c r="R219" s="218"/>
      <c r="S219" s="218"/>
      <c r="T219" s="692"/>
      <c r="U219" s="810"/>
      <c r="V219" s="800"/>
      <c r="W219" s="826"/>
    </row>
    <row r="220" spans="2:23" x14ac:dyDescent="0.2">
      <c r="B220" s="51" t="s">
        <v>7</v>
      </c>
      <c r="C220" s="51" t="s">
        <v>27</v>
      </c>
      <c r="D220" s="51" t="s">
        <v>8</v>
      </c>
      <c r="E220" s="51" t="s">
        <v>20</v>
      </c>
      <c r="F220" s="51" t="s">
        <v>13</v>
      </c>
      <c r="G220" s="51" t="s">
        <v>12</v>
      </c>
      <c r="H220" s="51" t="s">
        <v>27</v>
      </c>
      <c r="I220" s="51"/>
      <c r="J220" s="51"/>
      <c r="K220" s="51"/>
      <c r="L220" s="235" t="s">
        <v>72</v>
      </c>
      <c r="M220" s="54"/>
      <c r="N220" s="54"/>
      <c r="O220" s="55"/>
      <c r="P220" s="55"/>
      <c r="Q220" s="743">
        <f>SUM(Q221:Q231)</f>
        <v>4793043320</v>
      </c>
      <c r="R220" s="213"/>
      <c r="S220" s="213"/>
      <c r="T220" s="91"/>
      <c r="U220" s="810"/>
      <c r="V220" s="800"/>
      <c r="W220" s="826"/>
    </row>
    <row r="221" spans="2:23" ht="60" x14ac:dyDescent="0.2">
      <c r="B221" s="321"/>
      <c r="C221" s="93"/>
      <c r="D221" s="93"/>
      <c r="E221" s="93"/>
      <c r="F221" s="93"/>
      <c r="G221" s="93"/>
      <c r="H221" s="93"/>
      <c r="I221" s="93"/>
      <c r="J221" s="344"/>
      <c r="K221" s="706"/>
      <c r="L221" s="58" t="s">
        <v>518</v>
      </c>
      <c r="M221" s="59"/>
      <c r="N221" s="59"/>
      <c r="O221" s="60" t="s">
        <v>305</v>
      </c>
      <c r="P221" s="60" t="s">
        <v>106137</v>
      </c>
      <c r="Q221" s="744">
        <v>26233127</v>
      </c>
      <c r="R221" s="62"/>
      <c r="S221" s="97"/>
      <c r="T221" s="94" t="s">
        <v>166</v>
      </c>
      <c r="U221" s="811">
        <v>26233127</v>
      </c>
      <c r="V221" s="803">
        <v>26233127</v>
      </c>
      <c r="W221" s="827">
        <f t="shared" ref="W221:W278" si="5">+V221-Q221</f>
        <v>0</v>
      </c>
    </row>
    <row r="222" spans="2:23" ht="45" x14ac:dyDescent="0.2">
      <c r="B222" s="321"/>
      <c r="C222" s="93"/>
      <c r="D222" s="93"/>
      <c r="E222" s="93"/>
      <c r="F222" s="93"/>
      <c r="G222" s="93"/>
      <c r="H222" s="93"/>
      <c r="I222" s="93"/>
      <c r="J222" s="344"/>
      <c r="K222" s="706"/>
      <c r="L222" s="58" t="s">
        <v>106197</v>
      </c>
      <c r="M222" s="59"/>
      <c r="N222" s="59"/>
      <c r="O222" s="60"/>
      <c r="P222" s="60"/>
      <c r="Q222" s="744">
        <v>1006491074</v>
      </c>
      <c r="R222" s="62"/>
      <c r="S222" s="97"/>
      <c r="T222" s="94" t="s">
        <v>166</v>
      </c>
      <c r="U222" s="811">
        <v>1006491074</v>
      </c>
      <c r="V222" s="803">
        <v>1006491074</v>
      </c>
      <c r="W222" s="827">
        <f t="shared" si="5"/>
        <v>0</v>
      </c>
    </row>
    <row r="223" spans="2:23" ht="45" x14ac:dyDescent="0.2">
      <c r="B223" s="321"/>
      <c r="C223" s="93"/>
      <c r="D223" s="93"/>
      <c r="E223" s="93"/>
      <c r="F223" s="93"/>
      <c r="G223" s="93"/>
      <c r="H223" s="93"/>
      <c r="I223" s="93"/>
      <c r="J223" s="344"/>
      <c r="K223" s="706"/>
      <c r="L223" s="58" t="s">
        <v>519</v>
      </c>
      <c r="M223" s="59"/>
      <c r="N223" s="59"/>
      <c r="O223" s="60" t="s">
        <v>305</v>
      </c>
      <c r="P223" s="60" t="s">
        <v>106137</v>
      </c>
      <c r="Q223" s="744">
        <f>2392340193+28240000+2940000+443508926-20000000-102500000</f>
        <v>2744529119</v>
      </c>
      <c r="R223" s="62"/>
      <c r="S223" s="259"/>
      <c r="T223" s="94" t="s">
        <v>166</v>
      </c>
      <c r="U223" s="811">
        <v>2867029119</v>
      </c>
      <c r="V223" s="803">
        <v>2392340193</v>
      </c>
      <c r="W223" s="827">
        <f t="shared" si="5"/>
        <v>-352188926</v>
      </c>
    </row>
    <row r="224" spans="2:23" ht="45" x14ac:dyDescent="0.2">
      <c r="B224" s="321"/>
      <c r="C224" s="93"/>
      <c r="D224" s="93"/>
      <c r="E224" s="93"/>
      <c r="F224" s="93"/>
      <c r="G224" s="93"/>
      <c r="H224" s="93"/>
      <c r="I224" s="93"/>
      <c r="J224" s="344"/>
      <c r="K224" s="706"/>
      <c r="L224" s="58" t="s">
        <v>520</v>
      </c>
      <c r="M224" s="59"/>
      <c r="N224" s="59"/>
      <c r="O224" s="60" t="s">
        <v>305</v>
      </c>
      <c r="P224" s="60" t="s">
        <v>425</v>
      </c>
      <c r="Q224" s="744">
        <v>210000000</v>
      </c>
      <c r="R224" s="130"/>
      <c r="S224" s="97"/>
      <c r="T224" s="94" t="s">
        <v>166</v>
      </c>
      <c r="U224" s="811">
        <v>210000000</v>
      </c>
      <c r="V224" s="803">
        <v>210000000</v>
      </c>
      <c r="W224" s="827">
        <f t="shared" si="5"/>
        <v>0</v>
      </c>
    </row>
    <row r="225" spans="2:24" ht="45" x14ac:dyDescent="0.2">
      <c r="B225" s="321"/>
      <c r="C225" s="93"/>
      <c r="D225" s="93"/>
      <c r="E225" s="93"/>
      <c r="F225" s="93"/>
      <c r="G225" s="93"/>
      <c r="H225" s="93"/>
      <c r="I225" s="93"/>
      <c r="J225" s="344"/>
      <c r="K225" s="706"/>
      <c r="L225" s="58" t="s">
        <v>521</v>
      </c>
      <c r="M225" s="59"/>
      <c r="N225" s="59"/>
      <c r="O225" s="60" t="s">
        <v>305</v>
      </c>
      <c r="P225" s="60" t="s">
        <v>431</v>
      </c>
      <c r="Q225" s="744">
        <f>239040000+144000000</f>
        <v>383040000</v>
      </c>
      <c r="R225" s="62"/>
      <c r="S225" s="97"/>
      <c r="T225" s="94" t="s">
        <v>166</v>
      </c>
      <c r="U225" s="811">
        <v>383040000</v>
      </c>
      <c r="V225" s="803">
        <v>383040000</v>
      </c>
      <c r="W225" s="827">
        <f t="shared" si="5"/>
        <v>0</v>
      </c>
    </row>
    <row r="226" spans="2:24" ht="43.5" customHeight="1" x14ac:dyDescent="0.2">
      <c r="B226" s="321"/>
      <c r="C226" s="93"/>
      <c r="D226" s="93"/>
      <c r="E226" s="93"/>
      <c r="F226" s="93"/>
      <c r="G226" s="93"/>
      <c r="H226" s="93"/>
      <c r="I226" s="93"/>
      <c r="J226" s="344"/>
      <c r="K226" s="706" t="s">
        <v>218</v>
      </c>
      <c r="L226" s="58" t="s">
        <v>106107</v>
      </c>
      <c r="M226" s="59">
        <v>45061</v>
      </c>
      <c r="N226" s="59" t="s">
        <v>367</v>
      </c>
      <c r="O226" s="60" t="s">
        <v>364</v>
      </c>
      <c r="P226" s="60" t="s">
        <v>222</v>
      </c>
      <c r="Q226" s="744">
        <f>800000000-300000000-28800000-144000000-41220000-283040000-2940000</f>
        <v>0</v>
      </c>
      <c r="R226" s="131"/>
      <c r="S226" s="259"/>
      <c r="T226" s="94" t="s">
        <v>166</v>
      </c>
      <c r="U226" s="811"/>
      <c r="V226" s="803"/>
      <c r="W226" s="827">
        <f t="shared" si="5"/>
        <v>0</v>
      </c>
    </row>
    <row r="227" spans="2:24" ht="48.75" customHeight="1" x14ac:dyDescent="0.2">
      <c r="B227" s="321"/>
      <c r="C227" s="93"/>
      <c r="D227" s="93"/>
      <c r="E227" s="93"/>
      <c r="F227" s="93"/>
      <c r="G227" s="93"/>
      <c r="H227" s="93"/>
      <c r="I227" s="93"/>
      <c r="J227" s="344"/>
      <c r="K227" s="706" t="s">
        <v>218</v>
      </c>
      <c r="L227" s="58" t="s">
        <v>106108</v>
      </c>
      <c r="M227" s="59">
        <v>45061</v>
      </c>
      <c r="N227" s="59" t="s">
        <v>367</v>
      </c>
      <c r="O227" s="60" t="s">
        <v>364</v>
      </c>
      <c r="P227" s="60" t="s">
        <v>222</v>
      </c>
      <c r="Q227" s="744">
        <f>1545000000-1006491074-95000000-443508926</f>
        <v>0</v>
      </c>
      <c r="R227" s="131"/>
      <c r="S227" s="259"/>
      <c r="T227" s="94" t="s">
        <v>166</v>
      </c>
      <c r="U227" s="811"/>
      <c r="V227" s="803"/>
      <c r="W227" s="827">
        <f t="shared" si="5"/>
        <v>0</v>
      </c>
    </row>
    <row r="228" spans="2:24" ht="45" x14ac:dyDescent="0.2">
      <c r="B228" s="321"/>
      <c r="C228" s="93"/>
      <c r="D228" s="93"/>
      <c r="E228" s="93"/>
      <c r="F228" s="93"/>
      <c r="G228" s="93"/>
      <c r="H228" s="93"/>
      <c r="I228" s="93"/>
      <c r="J228" s="344"/>
      <c r="K228" s="706" t="s">
        <v>106109</v>
      </c>
      <c r="L228" s="58" t="s">
        <v>106110</v>
      </c>
      <c r="M228" s="59">
        <v>45031</v>
      </c>
      <c r="N228" s="59" t="s">
        <v>438</v>
      </c>
      <c r="O228" s="60" t="s">
        <v>364</v>
      </c>
      <c r="P228" s="60" t="s">
        <v>209</v>
      </c>
      <c r="Q228" s="744">
        <f>210000000-110000000</f>
        <v>100000000</v>
      </c>
      <c r="R228" s="131" t="s">
        <v>211</v>
      </c>
      <c r="S228" s="259">
        <v>435120000</v>
      </c>
      <c r="T228" s="94" t="s">
        <v>166</v>
      </c>
      <c r="U228" s="811">
        <v>100000000</v>
      </c>
      <c r="V228" s="803"/>
      <c r="W228" s="827">
        <f t="shared" si="5"/>
        <v>-100000000</v>
      </c>
    </row>
    <row r="229" spans="2:24" ht="45" x14ac:dyDescent="0.2">
      <c r="B229" s="321"/>
      <c r="C229" s="93"/>
      <c r="D229" s="93"/>
      <c r="E229" s="93"/>
      <c r="F229" s="93"/>
      <c r="G229" s="93"/>
      <c r="H229" s="93"/>
      <c r="I229" s="93"/>
      <c r="J229" s="344"/>
      <c r="K229" s="706">
        <v>72154100</v>
      </c>
      <c r="L229" s="58" t="s">
        <v>106111</v>
      </c>
      <c r="M229" s="59">
        <v>45031</v>
      </c>
      <c r="N229" s="59" t="s">
        <v>438</v>
      </c>
      <c r="O229" s="60" t="s">
        <v>364</v>
      </c>
      <c r="P229" s="60" t="s">
        <v>209</v>
      </c>
      <c r="Q229" s="744">
        <v>239040000</v>
      </c>
      <c r="R229" s="62" t="s">
        <v>211</v>
      </c>
      <c r="S229" s="61">
        <v>495300000</v>
      </c>
      <c r="T229" s="94" t="s">
        <v>166</v>
      </c>
      <c r="U229" s="811">
        <v>239040000</v>
      </c>
      <c r="V229" s="803"/>
      <c r="W229" s="827">
        <f t="shared" si="5"/>
        <v>-239040000</v>
      </c>
    </row>
    <row r="230" spans="2:24" ht="45" x14ac:dyDescent="0.2">
      <c r="B230" s="321"/>
      <c r="C230" s="93"/>
      <c r="D230" s="93"/>
      <c r="E230" s="93"/>
      <c r="F230" s="93"/>
      <c r="G230" s="93"/>
      <c r="H230" s="93"/>
      <c r="I230" s="93"/>
      <c r="J230" s="344"/>
      <c r="K230" s="706" t="s">
        <v>106105</v>
      </c>
      <c r="L230" s="58" t="s">
        <v>289</v>
      </c>
      <c r="M230" s="59">
        <v>45078</v>
      </c>
      <c r="N230" s="59" t="s">
        <v>367</v>
      </c>
      <c r="O230" s="60" t="s">
        <v>442</v>
      </c>
      <c r="P230" s="59" t="s">
        <v>210</v>
      </c>
      <c r="Q230" s="744">
        <v>23210000</v>
      </c>
      <c r="R230" s="62"/>
      <c r="S230" s="132"/>
      <c r="T230" s="94" t="s">
        <v>166</v>
      </c>
      <c r="U230" s="811">
        <v>23210000</v>
      </c>
      <c r="V230" s="803"/>
      <c r="W230" s="827">
        <f t="shared" si="5"/>
        <v>-23210000</v>
      </c>
    </row>
    <row r="231" spans="2:24" ht="45" x14ac:dyDescent="0.2">
      <c r="B231" s="321"/>
      <c r="C231" s="93"/>
      <c r="D231" s="93"/>
      <c r="E231" s="93"/>
      <c r="F231" s="93"/>
      <c r="G231" s="93"/>
      <c r="H231" s="93"/>
      <c r="I231" s="93"/>
      <c r="J231" s="344"/>
      <c r="K231" s="706">
        <v>72154100</v>
      </c>
      <c r="L231" s="58" t="s">
        <v>106226</v>
      </c>
      <c r="M231" s="59">
        <v>45108</v>
      </c>
      <c r="N231" s="59" t="s">
        <v>367</v>
      </c>
      <c r="O231" s="60" t="s">
        <v>326</v>
      </c>
      <c r="P231" s="59" t="s">
        <v>210</v>
      </c>
      <c r="Q231" s="744">
        <f>27500000+33000000</f>
        <v>60500000</v>
      </c>
      <c r="R231" s="62"/>
      <c r="S231" s="63"/>
      <c r="T231" s="94" t="s">
        <v>166</v>
      </c>
      <c r="U231" s="811"/>
      <c r="V231" s="803"/>
      <c r="W231" s="827">
        <f t="shared" si="5"/>
        <v>-60500000</v>
      </c>
    </row>
    <row r="232" spans="2:24" x14ac:dyDescent="0.2">
      <c r="B232" s="51" t="s">
        <v>7</v>
      </c>
      <c r="C232" s="51" t="s">
        <v>27</v>
      </c>
      <c r="D232" s="51" t="s">
        <v>8</v>
      </c>
      <c r="E232" s="51" t="s">
        <v>20</v>
      </c>
      <c r="F232" s="51" t="s">
        <v>13</v>
      </c>
      <c r="G232" s="51" t="s">
        <v>12</v>
      </c>
      <c r="H232" s="51" t="s">
        <v>28</v>
      </c>
      <c r="I232" s="51"/>
      <c r="J232" s="51"/>
      <c r="K232" s="51"/>
      <c r="L232" s="235" t="s">
        <v>73</v>
      </c>
      <c r="M232" s="54"/>
      <c r="N232" s="54"/>
      <c r="O232" s="55"/>
      <c r="P232" s="55"/>
      <c r="Q232" s="743">
        <f>SUM(Q233:Q234)</f>
        <v>123600000</v>
      </c>
      <c r="R232" s="213"/>
      <c r="S232" s="213"/>
      <c r="T232" s="91"/>
      <c r="U232" s="810"/>
      <c r="V232" s="800"/>
      <c r="W232" s="826"/>
    </row>
    <row r="233" spans="2:24" ht="30" x14ac:dyDescent="0.2">
      <c r="B233" s="321"/>
      <c r="C233" s="93"/>
      <c r="D233" s="93"/>
      <c r="E233" s="93"/>
      <c r="F233" s="93"/>
      <c r="G233" s="93"/>
      <c r="H233" s="93"/>
      <c r="I233" s="93"/>
      <c r="J233" s="344"/>
      <c r="K233" s="328">
        <v>72101500</v>
      </c>
      <c r="L233" s="129" t="s">
        <v>296</v>
      </c>
      <c r="M233" s="59">
        <v>44936</v>
      </c>
      <c r="N233" s="59" t="s">
        <v>273</v>
      </c>
      <c r="O233" s="60" t="s">
        <v>106088</v>
      </c>
      <c r="P233" s="60" t="s">
        <v>221</v>
      </c>
      <c r="Q233" s="744">
        <v>28600000</v>
      </c>
      <c r="R233" s="62"/>
      <c r="S233" s="132"/>
      <c r="T233" s="94" t="s">
        <v>166</v>
      </c>
      <c r="U233" s="811">
        <v>28600000</v>
      </c>
      <c r="V233" s="803">
        <v>28600000</v>
      </c>
      <c r="W233" s="827">
        <f t="shared" si="5"/>
        <v>0</v>
      </c>
    </row>
    <row r="234" spans="2:24" ht="75" x14ac:dyDescent="0.2">
      <c r="B234" s="321"/>
      <c r="C234" s="93"/>
      <c r="D234" s="93"/>
      <c r="E234" s="93"/>
      <c r="F234" s="93"/>
      <c r="G234" s="93"/>
      <c r="H234" s="93"/>
      <c r="I234" s="93"/>
      <c r="J234" s="344"/>
      <c r="K234" s="706" t="s">
        <v>106132</v>
      </c>
      <c r="L234" s="58" t="s">
        <v>106152</v>
      </c>
      <c r="M234" s="59">
        <v>44998</v>
      </c>
      <c r="N234" s="59" t="s">
        <v>315</v>
      </c>
      <c r="O234" s="60" t="s">
        <v>106034</v>
      </c>
      <c r="P234" s="60" t="s">
        <v>333</v>
      </c>
      <c r="Q234" s="744">
        <v>95000000</v>
      </c>
      <c r="R234" s="62"/>
      <c r="S234" s="132"/>
      <c r="T234" s="94" t="s">
        <v>156</v>
      </c>
      <c r="U234" s="811">
        <v>95000000</v>
      </c>
      <c r="V234" s="803">
        <v>95000000</v>
      </c>
      <c r="W234" s="827">
        <f t="shared" si="5"/>
        <v>0</v>
      </c>
    </row>
    <row r="235" spans="2:24" x14ac:dyDescent="0.2">
      <c r="B235" s="51" t="s">
        <v>7</v>
      </c>
      <c r="C235" s="51" t="s">
        <v>27</v>
      </c>
      <c r="D235" s="51" t="s">
        <v>8</v>
      </c>
      <c r="E235" s="51" t="s">
        <v>20</v>
      </c>
      <c r="F235" s="51" t="s">
        <v>13</v>
      </c>
      <c r="G235" s="51" t="s">
        <v>12</v>
      </c>
      <c r="H235" s="51" t="s">
        <v>29</v>
      </c>
      <c r="I235" s="51"/>
      <c r="J235" s="51"/>
      <c r="K235" s="51"/>
      <c r="L235" s="235" t="s">
        <v>74</v>
      </c>
      <c r="M235" s="54"/>
      <c r="N235" s="54"/>
      <c r="O235" s="55"/>
      <c r="P235" s="55"/>
      <c r="Q235" s="743">
        <f>SUM(Q236:Q239)</f>
        <v>1405402000</v>
      </c>
      <c r="R235" s="213"/>
      <c r="S235" s="213"/>
      <c r="T235" s="91"/>
      <c r="U235" s="810"/>
      <c r="V235" s="800"/>
      <c r="W235" s="826"/>
    </row>
    <row r="236" spans="2:24" ht="45" x14ac:dyDescent="0.2">
      <c r="B236" s="321"/>
      <c r="C236" s="93"/>
      <c r="D236" s="93"/>
      <c r="E236" s="93"/>
      <c r="F236" s="93"/>
      <c r="G236" s="93"/>
      <c r="H236" s="93"/>
      <c r="I236" s="93"/>
      <c r="J236" s="344"/>
      <c r="K236" s="328">
        <v>72101500</v>
      </c>
      <c r="L236" s="129" t="s">
        <v>297</v>
      </c>
      <c r="M236" s="59">
        <v>44936</v>
      </c>
      <c r="N236" s="59" t="s">
        <v>273</v>
      </c>
      <c r="O236" s="60" t="s">
        <v>106088</v>
      </c>
      <c r="P236" s="60" t="s">
        <v>221</v>
      </c>
      <c r="Q236" s="744">
        <f>237600000+28800000+70000000+7500000</f>
        <v>343900000</v>
      </c>
      <c r="R236" s="62"/>
      <c r="S236" s="132"/>
      <c r="T236" s="94" t="s">
        <v>166</v>
      </c>
      <c r="U236" s="811">
        <v>336400000</v>
      </c>
      <c r="V236" s="803">
        <v>266400000</v>
      </c>
      <c r="W236" s="827">
        <f t="shared" si="5"/>
        <v>-77500000</v>
      </c>
    </row>
    <row r="237" spans="2:24" ht="30" x14ac:dyDescent="0.2">
      <c r="B237" s="321"/>
      <c r="C237" s="93"/>
      <c r="D237" s="93"/>
      <c r="E237" s="93"/>
      <c r="F237" s="93"/>
      <c r="G237" s="93"/>
      <c r="H237" s="93"/>
      <c r="I237" s="93"/>
      <c r="J237" s="344"/>
      <c r="K237" s="328">
        <v>72152300</v>
      </c>
      <c r="L237" s="129" t="s">
        <v>106222</v>
      </c>
      <c r="M237" s="59">
        <v>45106</v>
      </c>
      <c r="N237" s="59" t="s">
        <v>361</v>
      </c>
      <c r="O237" s="60" t="s">
        <v>326</v>
      </c>
      <c r="P237" s="60" t="s">
        <v>221</v>
      </c>
      <c r="Q237" s="744">
        <v>6000000</v>
      </c>
      <c r="R237" s="62"/>
      <c r="S237" s="132"/>
      <c r="T237" s="94" t="s">
        <v>166</v>
      </c>
      <c r="U237" s="811">
        <v>6000000</v>
      </c>
      <c r="V237" s="803">
        <v>6000000</v>
      </c>
      <c r="W237" s="827">
        <f t="shared" si="5"/>
        <v>0</v>
      </c>
    </row>
    <row r="238" spans="2:24" ht="45" x14ac:dyDescent="0.2">
      <c r="B238" s="321"/>
      <c r="C238" s="93"/>
      <c r="D238" s="93"/>
      <c r="E238" s="93"/>
      <c r="F238" s="93"/>
      <c r="G238" s="93"/>
      <c r="H238" s="93"/>
      <c r="I238" s="93"/>
      <c r="J238" s="344"/>
      <c r="K238" s="328">
        <v>72101500</v>
      </c>
      <c r="L238" s="129" t="s">
        <v>298</v>
      </c>
      <c r="M238" s="59">
        <v>44936</v>
      </c>
      <c r="N238" s="59" t="s">
        <v>261</v>
      </c>
      <c r="O238" s="60" t="s">
        <v>234</v>
      </c>
      <c r="P238" s="60" t="s">
        <v>221</v>
      </c>
      <c r="Q238" s="744">
        <v>82500000</v>
      </c>
      <c r="R238" s="62"/>
      <c r="S238" s="132"/>
      <c r="T238" s="94" t="s">
        <v>166</v>
      </c>
      <c r="U238" s="811">
        <v>82500000</v>
      </c>
      <c r="V238" s="803">
        <v>82500000</v>
      </c>
      <c r="W238" s="827">
        <f t="shared" si="5"/>
        <v>0</v>
      </c>
    </row>
    <row r="239" spans="2:24" ht="30" x14ac:dyDescent="0.2">
      <c r="B239" s="321"/>
      <c r="C239" s="93"/>
      <c r="D239" s="93"/>
      <c r="E239" s="93"/>
      <c r="F239" s="93"/>
      <c r="G239" s="93"/>
      <c r="H239" s="93"/>
      <c r="I239" s="93"/>
      <c r="J239" s="344"/>
      <c r="K239" s="706" t="s">
        <v>106220</v>
      </c>
      <c r="L239" s="129" t="s">
        <v>164</v>
      </c>
      <c r="M239" s="59">
        <v>44936</v>
      </c>
      <c r="N239" s="59" t="s">
        <v>261</v>
      </c>
      <c r="O239" s="60" t="s">
        <v>234</v>
      </c>
      <c r="P239" s="60" t="s">
        <v>221</v>
      </c>
      <c r="Q239" s="744">
        <f>1080000000-182998000-6000000+20000000+62000000</f>
        <v>973002000</v>
      </c>
      <c r="R239" s="62"/>
      <c r="S239" s="132"/>
      <c r="T239" s="94" t="s">
        <v>166</v>
      </c>
      <c r="U239" s="811">
        <v>897002000</v>
      </c>
      <c r="V239" s="803">
        <v>894600000</v>
      </c>
      <c r="W239" s="827">
        <f t="shared" si="5"/>
        <v>-78402000</v>
      </c>
      <c r="X239" s="821">
        <f>+U239-Q239</f>
        <v>-76000000</v>
      </c>
    </row>
    <row r="240" spans="2:24" ht="45" x14ac:dyDescent="0.2">
      <c r="B240" s="677" t="s">
        <v>7</v>
      </c>
      <c r="C240" s="677" t="s">
        <v>27</v>
      </c>
      <c r="D240" s="677" t="s">
        <v>8</v>
      </c>
      <c r="E240" s="677" t="s">
        <v>20</v>
      </c>
      <c r="F240" s="677" t="s">
        <v>14</v>
      </c>
      <c r="G240" s="677"/>
      <c r="H240" s="677"/>
      <c r="I240" s="677"/>
      <c r="J240" s="677"/>
      <c r="K240" s="329"/>
      <c r="L240" s="233" t="s">
        <v>106112</v>
      </c>
      <c r="M240" s="41"/>
      <c r="N240" s="267"/>
      <c r="O240" s="42"/>
      <c r="P240" s="42"/>
      <c r="Q240" s="741">
        <f>+Q241</f>
        <v>23100000</v>
      </c>
      <c r="R240" s="211"/>
      <c r="S240" s="211"/>
      <c r="T240" s="682"/>
      <c r="U240" s="810"/>
      <c r="V240" s="800"/>
      <c r="W240" s="826"/>
    </row>
    <row r="241" spans="2:23" x14ac:dyDescent="0.2">
      <c r="B241" s="133" t="s">
        <v>7</v>
      </c>
      <c r="C241" s="133" t="s">
        <v>27</v>
      </c>
      <c r="D241" s="133" t="s">
        <v>8</v>
      </c>
      <c r="E241" s="133" t="s">
        <v>20</v>
      </c>
      <c r="F241" s="133" t="s">
        <v>14</v>
      </c>
      <c r="G241" s="133" t="s">
        <v>15</v>
      </c>
      <c r="H241" s="133"/>
      <c r="I241" s="133"/>
      <c r="J241" s="133"/>
      <c r="K241" s="335"/>
      <c r="L241" s="240" t="s">
        <v>106113</v>
      </c>
      <c r="M241" s="123"/>
      <c r="N241" s="123"/>
      <c r="O241" s="124"/>
      <c r="P241" s="124"/>
      <c r="Q241" s="750">
        <f>+Q242</f>
        <v>23100000</v>
      </c>
      <c r="R241" s="218"/>
      <c r="S241" s="218"/>
      <c r="T241" s="692"/>
      <c r="U241" s="810"/>
      <c r="V241" s="800"/>
      <c r="W241" s="826"/>
    </row>
    <row r="242" spans="2:23" x14ac:dyDescent="0.2">
      <c r="B242" s="52" t="s">
        <v>7</v>
      </c>
      <c r="C242" s="52" t="s">
        <v>27</v>
      </c>
      <c r="D242" s="52" t="s">
        <v>8</v>
      </c>
      <c r="E242" s="52" t="s">
        <v>20</v>
      </c>
      <c r="F242" s="52" t="s">
        <v>14</v>
      </c>
      <c r="G242" s="52" t="s">
        <v>15</v>
      </c>
      <c r="H242" s="52" t="s">
        <v>8</v>
      </c>
      <c r="I242" s="52"/>
      <c r="J242" s="52"/>
      <c r="K242" s="51"/>
      <c r="L242" s="235" t="s">
        <v>106114</v>
      </c>
      <c r="M242" s="54"/>
      <c r="N242" s="54"/>
      <c r="O242" s="55"/>
      <c r="P242" s="55"/>
      <c r="Q242" s="743">
        <f>+Q243</f>
        <v>23100000</v>
      </c>
      <c r="R242" s="213"/>
      <c r="S242" s="213"/>
      <c r="T242" s="683"/>
      <c r="U242" s="810"/>
      <c r="V242" s="800"/>
      <c r="W242" s="826"/>
    </row>
    <row r="243" spans="2:23" ht="30" x14ac:dyDescent="0.2">
      <c r="B243" s="321"/>
      <c r="C243" s="93"/>
      <c r="D243" s="93"/>
      <c r="E243" s="93"/>
      <c r="F243" s="93"/>
      <c r="G243" s="93"/>
      <c r="H243" s="93"/>
      <c r="I243" s="93"/>
      <c r="J243" s="344"/>
      <c r="K243" s="328"/>
      <c r="L243" s="129" t="s">
        <v>106115</v>
      </c>
      <c r="M243" s="59">
        <v>44936</v>
      </c>
      <c r="N243" s="59" t="s">
        <v>273</v>
      </c>
      <c r="O243" s="60" t="s">
        <v>234</v>
      </c>
      <c r="P243" s="60" t="s">
        <v>221</v>
      </c>
      <c r="Q243" s="744">
        <v>23100000</v>
      </c>
      <c r="R243" s="300"/>
      <c r="S243" s="299"/>
      <c r="T243" s="94" t="s">
        <v>166</v>
      </c>
      <c r="U243" s="811">
        <v>23100000</v>
      </c>
      <c r="V243" s="803">
        <v>23100000</v>
      </c>
      <c r="W243" s="827">
        <f t="shared" si="5"/>
        <v>0</v>
      </c>
    </row>
    <row r="244" spans="2:23" ht="30" x14ac:dyDescent="0.2">
      <c r="B244" s="199" t="s">
        <v>7</v>
      </c>
      <c r="C244" s="199" t="s">
        <v>27</v>
      </c>
      <c r="D244" s="199" t="s">
        <v>8</v>
      </c>
      <c r="E244" s="199" t="s">
        <v>20</v>
      </c>
      <c r="F244" s="199" t="s">
        <v>15</v>
      </c>
      <c r="G244" s="199"/>
      <c r="H244" s="199"/>
      <c r="I244" s="199"/>
      <c r="J244" s="199"/>
      <c r="K244" s="329"/>
      <c r="L244" s="233" t="s">
        <v>80</v>
      </c>
      <c r="M244" s="41"/>
      <c r="N244" s="267"/>
      <c r="O244" s="42"/>
      <c r="P244" s="42"/>
      <c r="Q244" s="741">
        <f>+Q245+Q249</f>
        <v>174760000</v>
      </c>
      <c r="R244" s="211"/>
      <c r="S244" s="211"/>
      <c r="T244" s="682"/>
      <c r="U244" s="810"/>
      <c r="V244" s="800"/>
      <c r="W244" s="826"/>
    </row>
    <row r="245" spans="2:23" x14ac:dyDescent="0.2">
      <c r="B245" s="121" t="s">
        <v>7</v>
      </c>
      <c r="C245" s="121" t="s">
        <v>27</v>
      </c>
      <c r="D245" s="121" t="s">
        <v>8</v>
      </c>
      <c r="E245" s="121" t="s">
        <v>20</v>
      </c>
      <c r="F245" s="121" t="s">
        <v>15</v>
      </c>
      <c r="G245" s="133" t="s">
        <v>9</v>
      </c>
      <c r="H245" s="121"/>
      <c r="I245" s="121"/>
      <c r="J245" s="121"/>
      <c r="K245" s="335"/>
      <c r="L245" s="240" t="s">
        <v>123</v>
      </c>
      <c r="M245" s="123"/>
      <c r="N245" s="123"/>
      <c r="O245" s="124"/>
      <c r="P245" s="124"/>
      <c r="Q245" s="750">
        <f>+Q246</f>
        <v>65000000</v>
      </c>
      <c r="R245" s="218"/>
      <c r="S245" s="218"/>
      <c r="T245" s="692"/>
      <c r="U245" s="810"/>
      <c r="V245" s="800"/>
      <c r="W245" s="826"/>
    </row>
    <row r="246" spans="2:23" ht="30" x14ac:dyDescent="0.2">
      <c r="B246" s="52" t="s">
        <v>7</v>
      </c>
      <c r="C246" s="52" t="s">
        <v>27</v>
      </c>
      <c r="D246" s="52" t="s">
        <v>8</v>
      </c>
      <c r="E246" s="52" t="s">
        <v>20</v>
      </c>
      <c r="F246" s="52" t="s">
        <v>15</v>
      </c>
      <c r="G246" s="52" t="s">
        <v>9</v>
      </c>
      <c r="H246" s="52" t="s">
        <v>23</v>
      </c>
      <c r="I246" s="52"/>
      <c r="J246" s="52"/>
      <c r="K246" s="51"/>
      <c r="L246" s="235" t="s">
        <v>81</v>
      </c>
      <c r="M246" s="54"/>
      <c r="N246" s="54"/>
      <c r="O246" s="55"/>
      <c r="P246" s="55"/>
      <c r="Q246" s="743">
        <f>+Q247</f>
        <v>65000000</v>
      </c>
      <c r="R246" s="213"/>
      <c r="S246" s="213"/>
      <c r="T246" s="683"/>
      <c r="U246" s="810"/>
      <c r="V246" s="800"/>
      <c r="W246" s="826"/>
    </row>
    <row r="247" spans="2:23" x14ac:dyDescent="0.2">
      <c r="B247" s="52" t="s">
        <v>7</v>
      </c>
      <c r="C247" s="52" t="s">
        <v>27</v>
      </c>
      <c r="D247" s="52" t="s">
        <v>8</v>
      </c>
      <c r="E247" s="52" t="s">
        <v>20</v>
      </c>
      <c r="F247" s="52" t="s">
        <v>15</v>
      </c>
      <c r="G247" s="52" t="s">
        <v>9</v>
      </c>
      <c r="H247" s="52" t="s">
        <v>23</v>
      </c>
      <c r="I247" s="52" t="s">
        <v>32</v>
      </c>
      <c r="J247" s="52"/>
      <c r="K247" s="51"/>
      <c r="L247" s="235" t="s">
        <v>245</v>
      </c>
      <c r="M247" s="54"/>
      <c r="N247" s="54"/>
      <c r="O247" s="55"/>
      <c r="P247" s="55"/>
      <c r="Q247" s="743">
        <f>+Q248</f>
        <v>65000000</v>
      </c>
      <c r="R247" s="213"/>
      <c r="S247" s="213"/>
      <c r="T247" s="683"/>
      <c r="U247" s="810"/>
      <c r="V247" s="800"/>
      <c r="W247" s="826"/>
    </row>
    <row r="248" spans="2:23" ht="30" x14ac:dyDescent="0.2">
      <c r="B248" s="323"/>
      <c r="C248" s="305"/>
      <c r="D248" s="305"/>
      <c r="E248" s="305"/>
      <c r="F248" s="305"/>
      <c r="G248" s="305"/>
      <c r="H248" s="305"/>
      <c r="I248" s="305"/>
      <c r="J248" s="345"/>
      <c r="K248" s="328"/>
      <c r="L248" s="129" t="s">
        <v>246</v>
      </c>
      <c r="M248" s="59" t="s">
        <v>231</v>
      </c>
      <c r="N248" s="59" t="s">
        <v>231</v>
      </c>
      <c r="O248" s="59" t="s">
        <v>231</v>
      </c>
      <c r="P248" s="59" t="s">
        <v>231</v>
      </c>
      <c r="Q248" s="744">
        <v>65000000</v>
      </c>
      <c r="R248" s="62"/>
      <c r="S248" s="63"/>
      <c r="T248" s="94" t="s">
        <v>166</v>
      </c>
      <c r="U248" s="811">
        <v>65000000</v>
      </c>
      <c r="V248" s="803">
        <v>37917968</v>
      </c>
      <c r="W248" s="827">
        <f t="shared" si="5"/>
        <v>-27082032</v>
      </c>
    </row>
    <row r="249" spans="2:23" x14ac:dyDescent="0.2">
      <c r="B249" s="121" t="s">
        <v>7</v>
      </c>
      <c r="C249" s="121" t="s">
        <v>27</v>
      </c>
      <c r="D249" s="121" t="s">
        <v>8</v>
      </c>
      <c r="E249" s="121" t="s">
        <v>20</v>
      </c>
      <c r="F249" s="121" t="s">
        <v>15</v>
      </c>
      <c r="G249" s="121" t="s">
        <v>10</v>
      </c>
      <c r="H249" s="121"/>
      <c r="I249" s="121"/>
      <c r="J249" s="121"/>
      <c r="K249" s="335"/>
      <c r="L249" s="240" t="s">
        <v>238</v>
      </c>
      <c r="M249" s="123"/>
      <c r="N249" s="123"/>
      <c r="O249" s="124"/>
      <c r="P249" s="124"/>
      <c r="Q249" s="750">
        <f>+Q250</f>
        <v>109760000</v>
      </c>
      <c r="R249" s="218"/>
      <c r="S249" s="218"/>
      <c r="T249" s="692"/>
      <c r="U249" s="810"/>
      <c r="V249" s="800"/>
      <c r="W249" s="826"/>
    </row>
    <row r="250" spans="2:23" x14ac:dyDescent="0.2">
      <c r="B250" s="52" t="s">
        <v>7</v>
      </c>
      <c r="C250" s="52" t="s">
        <v>27</v>
      </c>
      <c r="D250" s="52" t="s">
        <v>8</v>
      </c>
      <c r="E250" s="52" t="s">
        <v>20</v>
      </c>
      <c r="F250" s="52" t="s">
        <v>15</v>
      </c>
      <c r="G250" s="52" t="s">
        <v>10</v>
      </c>
      <c r="H250" s="52" t="s">
        <v>8</v>
      </c>
      <c r="I250" s="51"/>
      <c r="J250" s="51"/>
      <c r="K250" s="51"/>
      <c r="L250" s="235" t="s">
        <v>239</v>
      </c>
      <c r="M250" s="54"/>
      <c r="N250" s="54"/>
      <c r="O250" s="55"/>
      <c r="P250" s="55"/>
      <c r="Q250" s="743">
        <f>+Q251</f>
        <v>109760000</v>
      </c>
      <c r="R250" s="213"/>
      <c r="S250" s="213"/>
      <c r="T250" s="91"/>
      <c r="U250" s="810"/>
      <c r="V250" s="800"/>
      <c r="W250" s="826"/>
    </row>
    <row r="251" spans="2:23" ht="30" x14ac:dyDescent="0.2">
      <c r="B251" s="52" t="s">
        <v>7</v>
      </c>
      <c r="C251" s="52" t="s">
        <v>27</v>
      </c>
      <c r="D251" s="52" t="s">
        <v>8</v>
      </c>
      <c r="E251" s="52" t="s">
        <v>20</v>
      </c>
      <c r="F251" s="52" t="s">
        <v>15</v>
      </c>
      <c r="G251" s="52" t="s">
        <v>10</v>
      </c>
      <c r="H251" s="51" t="s">
        <v>8</v>
      </c>
      <c r="I251" s="51" t="s">
        <v>21</v>
      </c>
      <c r="J251" s="51"/>
      <c r="K251" s="51"/>
      <c r="L251" s="235" t="s">
        <v>240</v>
      </c>
      <c r="M251" s="54"/>
      <c r="N251" s="54"/>
      <c r="O251" s="55"/>
      <c r="P251" s="55"/>
      <c r="Q251" s="743">
        <f>+Q252</f>
        <v>109760000</v>
      </c>
      <c r="R251" s="213"/>
      <c r="S251" s="213"/>
      <c r="T251" s="91"/>
      <c r="U251" s="810"/>
      <c r="V251" s="800"/>
      <c r="W251" s="826"/>
    </row>
    <row r="252" spans="2:23" x14ac:dyDescent="0.2">
      <c r="B252" s="323"/>
      <c r="C252" s="305"/>
      <c r="D252" s="305"/>
      <c r="E252" s="305"/>
      <c r="F252" s="305"/>
      <c r="G252" s="305"/>
      <c r="H252" s="305"/>
      <c r="I252" s="305"/>
      <c r="J252" s="345"/>
      <c r="K252" s="303">
        <v>83112400</v>
      </c>
      <c r="L252" s="58" t="s">
        <v>241</v>
      </c>
      <c r="M252" s="59">
        <v>44563</v>
      </c>
      <c r="N252" s="59" t="s">
        <v>261</v>
      </c>
      <c r="O252" s="59" t="s">
        <v>202</v>
      </c>
      <c r="P252" s="59" t="s">
        <v>231</v>
      </c>
      <c r="Q252" s="744">
        <f>98000000+11760000</f>
        <v>109760000</v>
      </c>
      <c r="R252" s="62"/>
      <c r="S252" s="63"/>
      <c r="T252" s="94" t="s">
        <v>188</v>
      </c>
      <c r="U252" s="811">
        <v>102400000</v>
      </c>
      <c r="V252" s="803">
        <v>102400000</v>
      </c>
      <c r="W252" s="827">
        <f t="shared" si="5"/>
        <v>-7360000</v>
      </c>
    </row>
    <row r="253" spans="2:23" ht="30" x14ac:dyDescent="0.2">
      <c r="B253" s="199" t="s">
        <v>7</v>
      </c>
      <c r="C253" s="199" t="s">
        <v>27</v>
      </c>
      <c r="D253" s="199" t="s">
        <v>8</v>
      </c>
      <c r="E253" s="199" t="s">
        <v>20</v>
      </c>
      <c r="F253" s="199" t="s">
        <v>16</v>
      </c>
      <c r="G253" s="199"/>
      <c r="H253" s="199"/>
      <c r="I253" s="199"/>
      <c r="J253" s="199"/>
      <c r="K253" s="329"/>
      <c r="L253" s="233" t="s">
        <v>85</v>
      </c>
      <c r="M253" s="41"/>
      <c r="N253" s="41"/>
      <c r="O253" s="42"/>
      <c r="P253" s="42"/>
      <c r="Q253" s="741">
        <f>+Q254+Q263+Q275</f>
        <v>2506329879</v>
      </c>
      <c r="R253" s="211"/>
      <c r="S253" s="211"/>
      <c r="T253" s="682"/>
      <c r="U253" s="810"/>
      <c r="V253" s="800"/>
      <c r="W253" s="826"/>
    </row>
    <row r="254" spans="2:23" x14ac:dyDescent="0.2">
      <c r="B254" s="121" t="s">
        <v>7</v>
      </c>
      <c r="C254" s="121" t="s">
        <v>27</v>
      </c>
      <c r="D254" s="121" t="s">
        <v>8</v>
      </c>
      <c r="E254" s="121" t="s">
        <v>20</v>
      </c>
      <c r="F254" s="121" t="s">
        <v>16</v>
      </c>
      <c r="G254" s="121" t="s">
        <v>11</v>
      </c>
      <c r="H254" s="121"/>
      <c r="I254" s="121"/>
      <c r="J254" s="121"/>
      <c r="K254" s="335"/>
      <c r="L254" s="240" t="s">
        <v>88</v>
      </c>
      <c r="M254" s="123"/>
      <c r="N254" s="123"/>
      <c r="O254" s="124"/>
      <c r="P254" s="124"/>
      <c r="Q254" s="750">
        <f>+Q255</f>
        <v>272208000</v>
      </c>
      <c r="R254" s="218"/>
      <c r="S254" s="218"/>
      <c r="T254" s="692"/>
      <c r="U254" s="810"/>
      <c r="V254" s="800"/>
      <c r="W254" s="826"/>
    </row>
    <row r="255" spans="2:23" ht="30" x14ac:dyDescent="0.2">
      <c r="B255" s="51" t="s">
        <v>7</v>
      </c>
      <c r="C255" s="51" t="s">
        <v>27</v>
      </c>
      <c r="D255" s="51" t="s">
        <v>8</v>
      </c>
      <c r="E255" s="51" t="s">
        <v>20</v>
      </c>
      <c r="F255" s="51" t="s">
        <v>16</v>
      </c>
      <c r="G255" s="51" t="s">
        <v>11</v>
      </c>
      <c r="H255" s="51" t="s">
        <v>8</v>
      </c>
      <c r="I255" s="51"/>
      <c r="J255" s="51"/>
      <c r="K255" s="51"/>
      <c r="L255" s="235" t="s">
        <v>106</v>
      </c>
      <c r="M255" s="54"/>
      <c r="N255" s="54"/>
      <c r="O255" s="55"/>
      <c r="P255" s="55"/>
      <c r="Q255" s="743">
        <f>+Q256</f>
        <v>272208000</v>
      </c>
      <c r="R255" s="213"/>
      <c r="S255" s="213"/>
      <c r="T255" s="91"/>
      <c r="U255" s="810"/>
      <c r="V255" s="800"/>
      <c r="W255" s="826"/>
    </row>
    <row r="256" spans="2:23" ht="30" x14ac:dyDescent="0.2">
      <c r="B256" s="51" t="s">
        <v>7</v>
      </c>
      <c r="C256" s="51" t="s">
        <v>27</v>
      </c>
      <c r="D256" s="51" t="s">
        <v>8</v>
      </c>
      <c r="E256" s="51" t="s">
        <v>20</v>
      </c>
      <c r="F256" s="51" t="s">
        <v>16</v>
      </c>
      <c r="G256" s="51" t="s">
        <v>11</v>
      </c>
      <c r="H256" s="51" t="s">
        <v>8</v>
      </c>
      <c r="I256" s="51" t="s">
        <v>21</v>
      </c>
      <c r="J256" s="51"/>
      <c r="K256" s="51"/>
      <c r="L256" s="235" t="s">
        <v>89</v>
      </c>
      <c r="M256" s="54"/>
      <c r="N256" s="54"/>
      <c r="O256" s="55"/>
      <c r="P256" s="55"/>
      <c r="Q256" s="743">
        <f>SUM(Q257:Q262)</f>
        <v>272208000</v>
      </c>
      <c r="R256" s="213"/>
      <c r="S256" s="213"/>
      <c r="T256" s="91"/>
      <c r="U256" s="810"/>
      <c r="V256" s="800"/>
      <c r="W256" s="826"/>
    </row>
    <row r="257" spans="2:23" ht="30" x14ac:dyDescent="0.2">
      <c r="B257" s="321"/>
      <c r="C257" s="93"/>
      <c r="D257" s="93"/>
      <c r="E257" s="93"/>
      <c r="F257" s="93"/>
      <c r="G257" s="93"/>
      <c r="H257" s="93"/>
      <c r="I257" s="93"/>
      <c r="J257" s="344"/>
      <c r="K257" s="706">
        <v>80161500</v>
      </c>
      <c r="L257" s="129" t="s">
        <v>106116</v>
      </c>
      <c r="M257" s="59">
        <v>44936</v>
      </c>
      <c r="N257" s="59" t="s">
        <v>261</v>
      </c>
      <c r="O257" s="60" t="s">
        <v>343</v>
      </c>
      <c r="P257" s="60" t="s">
        <v>221</v>
      </c>
      <c r="Q257" s="744">
        <v>42108000</v>
      </c>
      <c r="R257" s="62"/>
      <c r="S257" s="63"/>
      <c r="T257" s="94" t="s">
        <v>166</v>
      </c>
      <c r="U257" s="811">
        <v>42108000</v>
      </c>
      <c r="V257" s="803">
        <v>42108000</v>
      </c>
      <c r="W257" s="827">
        <f t="shared" si="5"/>
        <v>0</v>
      </c>
    </row>
    <row r="258" spans="2:23" ht="30" x14ac:dyDescent="0.2">
      <c r="B258" s="322"/>
      <c r="C258" s="301"/>
      <c r="D258" s="301"/>
      <c r="E258" s="301"/>
      <c r="F258" s="301"/>
      <c r="G258" s="301"/>
      <c r="H258" s="301"/>
      <c r="I258" s="301"/>
      <c r="J258" s="307"/>
      <c r="K258" s="706" t="s">
        <v>440</v>
      </c>
      <c r="L258" s="58" t="s">
        <v>106056</v>
      </c>
      <c r="M258" s="59">
        <v>45163</v>
      </c>
      <c r="N258" s="59" t="s">
        <v>368</v>
      </c>
      <c r="O258" s="60" t="s">
        <v>328</v>
      </c>
      <c r="P258" s="3" t="s">
        <v>432</v>
      </c>
      <c r="Q258" s="744">
        <v>25000000</v>
      </c>
      <c r="R258" s="62"/>
      <c r="S258" s="63"/>
      <c r="T258" s="94" t="s">
        <v>401</v>
      </c>
      <c r="U258" s="811"/>
      <c r="V258" s="803"/>
      <c r="W258" s="827">
        <f t="shared" si="5"/>
        <v>-25000000</v>
      </c>
    </row>
    <row r="259" spans="2:23" ht="75" x14ac:dyDescent="0.2">
      <c r="B259" s="322"/>
      <c r="C259" s="705"/>
      <c r="D259" s="705"/>
      <c r="E259" s="705"/>
      <c r="F259" s="705"/>
      <c r="G259" s="705"/>
      <c r="H259" s="705"/>
      <c r="I259" s="705"/>
      <c r="J259" s="307"/>
      <c r="K259" s="328">
        <v>80101500</v>
      </c>
      <c r="L259" s="129" t="s">
        <v>106143</v>
      </c>
      <c r="M259" s="59">
        <v>44941</v>
      </c>
      <c r="N259" s="59" t="s">
        <v>370</v>
      </c>
      <c r="O259" s="60" t="s">
        <v>343</v>
      </c>
      <c r="P259" s="60" t="s">
        <v>262</v>
      </c>
      <c r="Q259" s="744">
        <v>33200000</v>
      </c>
      <c r="R259" s="62"/>
      <c r="S259" s="63"/>
      <c r="T259" s="94" t="s">
        <v>401</v>
      </c>
      <c r="U259" s="811">
        <v>33200000</v>
      </c>
      <c r="V259" s="803">
        <v>30930900</v>
      </c>
      <c r="W259" s="827">
        <f t="shared" si="5"/>
        <v>-2269100</v>
      </c>
    </row>
    <row r="260" spans="2:23" ht="45" x14ac:dyDescent="0.2">
      <c r="B260" s="322"/>
      <c r="C260" s="678"/>
      <c r="D260" s="678"/>
      <c r="E260" s="678"/>
      <c r="F260" s="678"/>
      <c r="G260" s="678"/>
      <c r="H260" s="678"/>
      <c r="I260" s="678"/>
      <c r="J260" s="307"/>
      <c r="K260" s="328">
        <v>80101500</v>
      </c>
      <c r="L260" s="129" t="s">
        <v>106144</v>
      </c>
      <c r="M260" s="59">
        <v>44941</v>
      </c>
      <c r="N260" s="59" t="s">
        <v>370</v>
      </c>
      <c r="O260" s="60" t="s">
        <v>343</v>
      </c>
      <c r="P260" s="60" t="s">
        <v>262</v>
      </c>
      <c r="Q260" s="744">
        <v>33200000</v>
      </c>
      <c r="R260" s="62"/>
      <c r="S260" s="63"/>
      <c r="T260" s="94" t="s">
        <v>401</v>
      </c>
      <c r="U260" s="811">
        <v>33200000</v>
      </c>
      <c r="V260" s="803">
        <v>17674800</v>
      </c>
      <c r="W260" s="827">
        <f t="shared" si="5"/>
        <v>-15525200</v>
      </c>
    </row>
    <row r="261" spans="2:23" s="734" customFormat="1" ht="30" x14ac:dyDescent="0.2">
      <c r="B261" s="730"/>
      <c r="C261" s="731"/>
      <c r="D261" s="731"/>
      <c r="E261" s="731"/>
      <c r="F261" s="731"/>
      <c r="G261" s="731"/>
      <c r="H261" s="731"/>
      <c r="I261" s="731"/>
      <c r="J261" s="732"/>
      <c r="K261" s="715" t="s">
        <v>106146</v>
      </c>
      <c r="L261" s="129" t="s">
        <v>106147</v>
      </c>
      <c r="M261" s="59">
        <v>44982</v>
      </c>
      <c r="N261" s="59" t="s">
        <v>256</v>
      </c>
      <c r="O261" s="60" t="s">
        <v>319</v>
      </c>
      <c r="P261" s="60" t="s">
        <v>262</v>
      </c>
      <c r="Q261" s="744">
        <f>100000000-20000000</f>
        <v>80000000</v>
      </c>
      <c r="R261" s="733"/>
      <c r="S261" s="152"/>
      <c r="T261" s="695" t="s">
        <v>401</v>
      </c>
      <c r="U261" s="815">
        <v>80000000</v>
      </c>
      <c r="V261" s="805"/>
      <c r="W261" s="827">
        <f t="shared" si="5"/>
        <v>-80000000</v>
      </c>
    </row>
    <row r="262" spans="2:23" ht="60" x14ac:dyDescent="0.2">
      <c r="B262" s="322"/>
      <c r="C262" s="301"/>
      <c r="D262" s="301"/>
      <c r="E262" s="301"/>
      <c r="F262" s="301"/>
      <c r="G262" s="301"/>
      <c r="H262" s="301"/>
      <c r="I262" s="301"/>
      <c r="J262" s="307"/>
      <c r="K262" s="328">
        <v>80101500</v>
      </c>
      <c r="L262" s="58" t="s">
        <v>106145</v>
      </c>
      <c r="M262" s="59">
        <v>44941</v>
      </c>
      <c r="N262" s="59" t="s">
        <v>370</v>
      </c>
      <c r="O262" s="60" t="s">
        <v>343</v>
      </c>
      <c r="P262" s="60" t="s">
        <v>262</v>
      </c>
      <c r="Q262" s="744">
        <v>58700000</v>
      </c>
      <c r="R262" s="62"/>
      <c r="S262" s="63"/>
      <c r="T262" s="94" t="s">
        <v>401</v>
      </c>
      <c r="U262" s="811"/>
      <c r="V262" s="803"/>
      <c r="W262" s="827">
        <f t="shared" si="5"/>
        <v>-58700000</v>
      </c>
    </row>
    <row r="263" spans="2:23" x14ac:dyDescent="0.2">
      <c r="B263" s="121" t="s">
        <v>7</v>
      </c>
      <c r="C263" s="121" t="s">
        <v>27</v>
      </c>
      <c r="D263" s="121" t="s">
        <v>8</v>
      </c>
      <c r="E263" s="121" t="s">
        <v>20</v>
      </c>
      <c r="F263" s="121" t="s">
        <v>16</v>
      </c>
      <c r="G263" s="121" t="s">
        <v>13</v>
      </c>
      <c r="H263" s="121"/>
      <c r="I263" s="121"/>
      <c r="J263" s="121"/>
      <c r="K263" s="335"/>
      <c r="L263" s="240" t="s">
        <v>95</v>
      </c>
      <c r="M263" s="123"/>
      <c r="N263" s="123"/>
      <c r="O263" s="124"/>
      <c r="P263" s="124"/>
      <c r="Q263" s="750">
        <f>SUM(Q264+Q267)</f>
        <v>2069996263</v>
      </c>
      <c r="R263" s="218"/>
      <c r="S263" s="218"/>
      <c r="T263" s="692"/>
      <c r="U263" s="810"/>
      <c r="V263" s="800"/>
      <c r="W263" s="826"/>
    </row>
    <row r="264" spans="2:23" x14ac:dyDescent="0.2">
      <c r="B264" s="51" t="s">
        <v>7</v>
      </c>
      <c r="C264" s="51" t="s">
        <v>27</v>
      </c>
      <c r="D264" s="51" t="s">
        <v>8</v>
      </c>
      <c r="E264" s="51" t="s">
        <v>20</v>
      </c>
      <c r="F264" s="51" t="s">
        <v>16</v>
      </c>
      <c r="G264" s="51" t="s">
        <v>13</v>
      </c>
      <c r="H264" s="51" t="s">
        <v>20</v>
      </c>
      <c r="I264" s="51"/>
      <c r="J264" s="51"/>
      <c r="K264" s="51"/>
      <c r="L264" s="235" t="s">
        <v>248</v>
      </c>
      <c r="M264" s="54"/>
      <c r="N264" s="54"/>
      <c r="O264" s="55"/>
      <c r="P264" s="55"/>
      <c r="Q264" s="743">
        <f>SUM(Q265:Q266)</f>
        <v>269728920</v>
      </c>
      <c r="R264" s="213"/>
      <c r="S264" s="213"/>
      <c r="T264" s="91"/>
      <c r="U264" s="810"/>
      <c r="V264" s="800"/>
      <c r="W264" s="826"/>
    </row>
    <row r="265" spans="2:23" ht="45" x14ac:dyDescent="0.2">
      <c r="B265" s="321"/>
      <c r="C265" s="93"/>
      <c r="D265" s="93"/>
      <c r="E265" s="93"/>
      <c r="F265" s="93"/>
      <c r="G265" s="93"/>
      <c r="H265" s="93"/>
      <c r="I265" s="93"/>
      <c r="J265" s="344"/>
      <c r="K265" s="708">
        <v>92121500</v>
      </c>
      <c r="L265" s="58" t="s">
        <v>522</v>
      </c>
      <c r="M265" s="59"/>
      <c r="N265" s="59"/>
      <c r="O265" s="60" t="s">
        <v>305</v>
      </c>
      <c r="P265" s="3" t="s">
        <v>209</v>
      </c>
      <c r="Q265" s="751">
        <f>116254536+18594348+36</f>
        <v>134848920</v>
      </c>
      <c r="R265" s="131"/>
      <c r="S265" s="63"/>
      <c r="T265" s="94" t="s">
        <v>166</v>
      </c>
      <c r="U265" s="811">
        <v>134848920</v>
      </c>
      <c r="V265" s="803">
        <f>116254536+18594384</f>
        <v>134848920</v>
      </c>
      <c r="W265" s="827">
        <f t="shared" si="5"/>
        <v>0</v>
      </c>
    </row>
    <row r="266" spans="2:23" ht="45" x14ac:dyDescent="0.2">
      <c r="B266" s="322"/>
      <c r="C266" s="301"/>
      <c r="D266" s="301"/>
      <c r="E266" s="301"/>
      <c r="F266" s="301"/>
      <c r="G266" s="301"/>
      <c r="H266" s="301"/>
      <c r="I266" s="301"/>
      <c r="J266" s="307"/>
      <c r="K266" s="708">
        <v>92121500</v>
      </c>
      <c r="L266" s="4" t="s">
        <v>106117</v>
      </c>
      <c r="M266" s="59">
        <v>45031</v>
      </c>
      <c r="N266" s="59" t="s">
        <v>438</v>
      </c>
      <c r="O266" s="60" t="s">
        <v>364</v>
      </c>
      <c r="P266" s="60" t="s">
        <v>106038</v>
      </c>
      <c r="Q266" s="751">
        <f>120600000-18594348-36+32874384</f>
        <v>134880000</v>
      </c>
      <c r="R266" s="131" t="s">
        <v>211</v>
      </c>
      <c r="S266" s="256">
        <v>279480000</v>
      </c>
      <c r="T266" s="94" t="s">
        <v>166</v>
      </c>
      <c r="U266" s="811">
        <v>134880000</v>
      </c>
      <c r="V266" s="803">
        <v>45967517.100000001</v>
      </c>
      <c r="W266" s="827">
        <f t="shared" si="5"/>
        <v>-88912482.900000006</v>
      </c>
    </row>
    <row r="267" spans="2:23" x14ac:dyDescent="0.2">
      <c r="B267" s="51" t="s">
        <v>7</v>
      </c>
      <c r="C267" s="51" t="s">
        <v>27</v>
      </c>
      <c r="D267" s="51" t="s">
        <v>8</v>
      </c>
      <c r="E267" s="51" t="s">
        <v>20</v>
      </c>
      <c r="F267" s="51" t="s">
        <v>16</v>
      </c>
      <c r="G267" s="51" t="s">
        <v>13</v>
      </c>
      <c r="H267" s="51" t="s">
        <v>23</v>
      </c>
      <c r="I267" s="51"/>
      <c r="J267" s="51"/>
      <c r="K267" s="51"/>
      <c r="L267" s="235" t="s">
        <v>96</v>
      </c>
      <c r="M267" s="54"/>
      <c r="N267" s="54"/>
      <c r="O267" s="55"/>
      <c r="P267" s="55"/>
      <c r="Q267" s="743">
        <f>SUM(Q268:Q274)</f>
        <v>1800267343</v>
      </c>
      <c r="R267" s="213"/>
      <c r="S267" s="213"/>
      <c r="T267" s="91"/>
      <c r="U267" s="810"/>
      <c r="V267" s="800"/>
      <c r="W267" s="826"/>
    </row>
    <row r="268" spans="2:23" ht="45" x14ac:dyDescent="0.2">
      <c r="B268" s="321"/>
      <c r="C268" s="93"/>
      <c r="D268" s="93"/>
      <c r="E268" s="93"/>
      <c r="F268" s="93"/>
      <c r="G268" s="93"/>
      <c r="H268" s="93"/>
      <c r="I268" s="93"/>
      <c r="J268" s="344"/>
      <c r="K268" s="328">
        <v>76111500</v>
      </c>
      <c r="L268" s="58" t="s">
        <v>523</v>
      </c>
      <c r="M268" s="59"/>
      <c r="N268" s="59"/>
      <c r="O268" s="60" t="s">
        <v>305</v>
      </c>
      <c r="P268" s="60" t="s">
        <v>209</v>
      </c>
      <c r="Q268" s="744">
        <f>119027819+18600000</f>
        <v>137627819</v>
      </c>
      <c r="R268" s="62"/>
      <c r="S268" s="63"/>
      <c r="T268" s="94" t="s">
        <v>166</v>
      </c>
      <c r="U268" s="811">
        <v>137279859.97</v>
      </c>
      <c r="V268" s="803">
        <v>131877070.83</v>
      </c>
      <c r="W268" s="827">
        <f t="shared" si="5"/>
        <v>-5750748.1700000018</v>
      </c>
    </row>
    <row r="269" spans="2:23" ht="45" x14ac:dyDescent="0.2">
      <c r="B269" s="322"/>
      <c r="C269" s="301"/>
      <c r="D269" s="301"/>
      <c r="E269" s="301"/>
      <c r="F269" s="301"/>
      <c r="G269" s="301"/>
      <c r="H269" s="301"/>
      <c r="I269" s="301"/>
      <c r="J269" s="307"/>
      <c r="K269" s="328">
        <v>76111500</v>
      </c>
      <c r="L269" s="58" t="s">
        <v>106118</v>
      </c>
      <c r="M269" s="59">
        <v>45031</v>
      </c>
      <c r="N269" s="59" t="s">
        <v>106119</v>
      </c>
      <c r="O269" s="60" t="s">
        <v>364</v>
      </c>
      <c r="P269" s="60" t="s">
        <v>222</v>
      </c>
      <c r="Q269" s="744">
        <f>117600000-18600000+41220000</f>
        <v>140220000</v>
      </c>
      <c r="R269" s="62" t="s">
        <v>211</v>
      </c>
      <c r="S269" s="256">
        <v>290640000</v>
      </c>
      <c r="T269" s="94" t="s">
        <v>166</v>
      </c>
      <c r="U269" s="811">
        <v>140220000</v>
      </c>
      <c r="V269" s="803">
        <v>137279859.97</v>
      </c>
      <c r="W269" s="827">
        <f t="shared" si="5"/>
        <v>-2940140.0300000012</v>
      </c>
    </row>
    <row r="270" spans="2:23" ht="45" x14ac:dyDescent="0.2">
      <c r="B270" s="322"/>
      <c r="C270" s="301"/>
      <c r="D270" s="301"/>
      <c r="E270" s="301"/>
      <c r="F270" s="301"/>
      <c r="G270" s="301"/>
      <c r="H270" s="301"/>
      <c r="I270" s="301"/>
      <c r="J270" s="307"/>
      <c r="K270" s="328">
        <v>76111500</v>
      </c>
      <c r="L270" s="58" t="s">
        <v>106192</v>
      </c>
      <c r="M270" s="59">
        <v>45031</v>
      </c>
      <c r="N270" s="59" t="s">
        <v>405</v>
      </c>
      <c r="O270" s="60" t="s">
        <v>364</v>
      </c>
      <c r="P270" s="60" t="s">
        <v>222</v>
      </c>
      <c r="Q270" s="744">
        <f>570379524+95000000</f>
        <v>665379524</v>
      </c>
      <c r="R270" s="62"/>
      <c r="S270" s="256"/>
      <c r="T270" s="94" t="s">
        <v>166</v>
      </c>
      <c r="U270" s="811">
        <v>665379523.53999996</v>
      </c>
      <c r="V270" s="803">
        <v>650345923.64999998</v>
      </c>
      <c r="W270" s="827">
        <f t="shared" si="5"/>
        <v>-15033600.350000024</v>
      </c>
    </row>
    <row r="271" spans="2:23" ht="45" x14ac:dyDescent="0.2">
      <c r="B271" s="322"/>
      <c r="C271" s="797"/>
      <c r="D271" s="797"/>
      <c r="E271" s="797"/>
      <c r="F271" s="797"/>
      <c r="G271" s="797"/>
      <c r="H271" s="797"/>
      <c r="I271" s="797"/>
      <c r="J271" s="307"/>
      <c r="K271" s="328"/>
      <c r="L271" s="58" t="s">
        <v>106198</v>
      </c>
      <c r="M271" s="59"/>
      <c r="N271" s="59"/>
      <c r="O271" s="60"/>
      <c r="P271" s="60"/>
      <c r="Q271" s="744">
        <f>300000000+64000000+283040000</f>
        <v>647040000</v>
      </c>
      <c r="R271" s="62" t="s">
        <v>211</v>
      </c>
      <c r="S271" s="256">
        <v>1340700000</v>
      </c>
      <c r="T271" s="94" t="s">
        <v>166</v>
      </c>
      <c r="U271" s="811">
        <v>647040000</v>
      </c>
      <c r="V271" s="803">
        <v>641239344.02999997</v>
      </c>
      <c r="W271" s="827">
        <f t="shared" si="5"/>
        <v>-5800655.9700000286</v>
      </c>
    </row>
    <row r="272" spans="2:23" ht="30" x14ac:dyDescent="0.2">
      <c r="B272" s="322"/>
      <c r="C272" s="674"/>
      <c r="D272" s="674"/>
      <c r="E272" s="674"/>
      <c r="F272" s="674"/>
      <c r="G272" s="674"/>
      <c r="H272" s="674"/>
      <c r="I272" s="674"/>
      <c r="J272" s="307"/>
      <c r="K272" s="328">
        <v>76111500</v>
      </c>
      <c r="L272" s="129" t="s">
        <v>106138</v>
      </c>
      <c r="M272" s="59">
        <v>44958</v>
      </c>
      <c r="N272" s="59" t="s">
        <v>259</v>
      </c>
      <c r="O272" s="60" t="s">
        <v>319</v>
      </c>
      <c r="P272" s="60" t="s">
        <v>222</v>
      </c>
      <c r="Q272" s="744">
        <f>(32000000*2)-64000000</f>
        <v>0</v>
      </c>
      <c r="R272" s="62"/>
      <c r="S272" s="63"/>
      <c r="T272" s="94" t="s">
        <v>166</v>
      </c>
      <c r="U272" s="811"/>
      <c r="V272" s="803"/>
      <c r="W272" s="827">
        <f>+V272-Q272</f>
        <v>0</v>
      </c>
    </row>
    <row r="273" spans="2:24" ht="30" x14ac:dyDescent="0.2">
      <c r="B273" s="322"/>
      <c r="C273" s="674"/>
      <c r="D273" s="674"/>
      <c r="E273" s="674"/>
      <c r="F273" s="674"/>
      <c r="G273" s="674"/>
      <c r="H273" s="674"/>
      <c r="I273" s="674"/>
      <c r="J273" s="307"/>
      <c r="K273" s="706" t="s">
        <v>106120</v>
      </c>
      <c r="L273" s="129" t="s">
        <v>299</v>
      </c>
      <c r="M273" s="59">
        <v>45047</v>
      </c>
      <c r="N273" s="59" t="s">
        <v>361</v>
      </c>
      <c r="O273" s="60" t="s">
        <v>260</v>
      </c>
      <c r="P273" s="60" t="s">
        <v>106121</v>
      </c>
      <c r="Q273" s="744">
        <v>60000000</v>
      </c>
      <c r="R273" s="62"/>
      <c r="S273" s="63"/>
      <c r="T273" s="94" t="s">
        <v>166</v>
      </c>
      <c r="U273" s="811">
        <v>60000000</v>
      </c>
      <c r="V273" s="803"/>
      <c r="W273" s="827">
        <f t="shared" si="5"/>
        <v>-60000000</v>
      </c>
    </row>
    <row r="274" spans="2:24" ht="45" x14ac:dyDescent="0.2">
      <c r="B274" s="322"/>
      <c r="C274" s="301"/>
      <c r="D274" s="301"/>
      <c r="E274" s="301"/>
      <c r="F274" s="301"/>
      <c r="G274" s="301"/>
      <c r="H274" s="301"/>
      <c r="I274" s="301"/>
      <c r="J274" s="307"/>
      <c r="K274" s="328">
        <v>72102100</v>
      </c>
      <c r="L274" s="58" t="s">
        <v>106139</v>
      </c>
      <c r="M274" s="59">
        <v>45047</v>
      </c>
      <c r="N274" s="59" t="s">
        <v>361</v>
      </c>
      <c r="O274" s="60" t="s">
        <v>260</v>
      </c>
      <c r="P274" s="60" t="s">
        <v>106121</v>
      </c>
      <c r="Q274" s="744">
        <v>150000000</v>
      </c>
      <c r="R274" s="62"/>
      <c r="S274" s="61"/>
      <c r="T274" s="94" t="s">
        <v>166</v>
      </c>
      <c r="U274" s="811">
        <v>150000000</v>
      </c>
      <c r="V274" s="803">
        <v>150000000</v>
      </c>
      <c r="W274" s="827">
        <f t="shared" si="5"/>
        <v>0</v>
      </c>
    </row>
    <row r="275" spans="2:24" ht="30" x14ac:dyDescent="0.2">
      <c r="B275" s="121" t="s">
        <v>7</v>
      </c>
      <c r="C275" s="121" t="s">
        <v>27</v>
      </c>
      <c r="D275" s="121" t="s">
        <v>8</v>
      </c>
      <c r="E275" s="121" t="s">
        <v>20</v>
      </c>
      <c r="F275" s="121" t="s">
        <v>16</v>
      </c>
      <c r="G275" s="121" t="s">
        <v>15</v>
      </c>
      <c r="H275" s="121"/>
      <c r="I275" s="121"/>
      <c r="J275" s="121"/>
      <c r="K275" s="335"/>
      <c r="L275" s="240" t="s">
        <v>97</v>
      </c>
      <c r="M275" s="123"/>
      <c r="N275" s="123"/>
      <c r="O275" s="124"/>
      <c r="P275" s="124"/>
      <c r="Q275" s="750">
        <f>+Q276</f>
        <v>164125616</v>
      </c>
      <c r="R275" s="218"/>
      <c r="S275" s="218"/>
      <c r="T275" s="692"/>
      <c r="U275" s="810"/>
      <c r="V275" s="800"/>
      <c r="W275" s="826"/>
    </row>
    <row r="276" spans="2:24" ht="30" x14ac:dyDescent="0.2">
      <c r="B276" s="51" t="s">
        <v>7</v>
      </c>
      <c r="C276" s="51" t="s">
        <v>27</v>
      </c>
      <c r="D276" s="51" t="s">
        <v>8</v>
      </c>
      <c r="E276" s="51" t="s">
        <v>20</v>
      </c>
      <c r="F276" s="51" t="s">
        <v>16</v>
      </c>
      <c r="G276" s="51" t="s">
        <v>15</v>
      </c>
      <c r="H276" s="51" t="s">
        <v>8</v>
      </c>
      <c r="I276" s="51"/>
      <c r="J276" s="51"/>
      <c r="K276" s="51"/>
      <c r="L276" s="235" t="s">
        <v>98</v>
      </c>
      <c r="M276" s="54"/>
      <c r="N276" s="54"/>
      <c r="O276" s="55"/>
      <c r="P276" s="55"/>
      <c r="Q276" s="743">
        <f>+Q277</f>
        <v>164125616</v>
      </c>
      <c r="R276" s="213"/>
      <c r="S276" s="213"/>
      <c r="T276" s="91"/>
      <c r="U276" s="810"/>
      <c r="V276" s="800"/>
      <c r="W276" s="826"/>
    </row>
    <row r="277" spans="2:24" ht="30" x14ac:dyDescent="0.2">
      <c r="B277" s="51" t="s">
        <v>7</v>
      </c>
      <c r="C277" s="51" t="s">
        <v>27</v>
      </c>
      <c r="D277" s="51" t="s">
        <v>8</v>
      </c>
      <c r="E277" s="51" t="s">
        <v>20</v>
      </c>
      <c r="F277" s="51" t="s">
        <v>16</v>
      </c>
      <c r="G277" s="51" t="s">
        <v>15</v>
      </c>
      <c r="H277" s="51" t="s">
        <v>8</v>
      </c>
      <c r="I277" s="51" t="s">
        <v>34</v>
      </c>
      <c r="J277" s="51"/>
      <c r="K277" s="51"/>
      <c r="L277" s="235" t="s">
        <v>99</v>
      </c>
      <c r="M277" s="54"/>
      <c r="N277" s="54"/>
      <c r="O277" s="55"/>
      <c r="P277" s="55"/>
      <c r="Q277" s="743">
        <f>SUM(Q278:Q279)</f>
        <v>164125616</v>
      </c>
      <c r="R277" s="213"/>
      <c r="S277" s="213"/>
      <c r="T277" s="91"/>
      <c r="U277" s="810"/>
      <c r="V277" s="800"/>
      <c r="W277" s="826"/>
    </row>
    <row r="278" spans="2:24" ht="45" x14ac:dyDescent="0.2">
      <c r="B278" s="321"/>
      <c r="C278" s="93"/>
      <c r="D278" s="93"/>
      <c r="E278" s="93"/>
      <c r="F278" s="93"/>
      <c r="G278" s="93"/>
      <c r="H278" s="93"/>
      <c r="I278" s="93"/>
      <c r="J278" s="344"/>
      <c r="K278" s="328">
        <v>73152100</v>
      </c>
      <c r="L278" s="58" t="s">
        <v>301</v>
      </c>
      <c r="M278" s="59">
        <v>45078</v>
      </c>
      <c r="N278" s="59" t="s">
        <v>372</v>
      </c>
      <c r="O278" s="60" t="s">
        <v>442</v>
      </c>
      <c r="P278" s="60" t="s">
        <v>106038</v>
      </c>
      <c r="Q278" s="744">
        <v>50000000</v>
      </c>
      <c r="R278" s="62"/>
      <c r="S278" s="63"/>
      <c r="T278" s="94" t="s">
        <v>166</v>
      </c>
      <c r="U278" s="811">
        <v>50000000</v>
      </c>
      <c r="V278" s="803"/>
      <c r="W278" s="827">
        <f t="shared" si="5"/>
        <v>-50000000</v>
      </c>
    </row>
    <row r="279" spans="2:24" ht="45" x14ac:dyDescent="0.2">
      <c r="B279" s="322"/>
      <c r="C279" s="301"/>
      <c r="D279" s="301"/>
      <c r="E279" s="301"/>
      <c r="F279" s="301"/>
      <c r="G279" s="301"/>
      <c r="H279" s="301"/>
      <c r="I279" s="301"/>
      <c r="J279" s="729"/>
      <c r="K279" s="763" t="s">
        <v>345</v>
      </c>
      <c r="L279" s="575" t="s">
        <v>346</v>
      </c>
      <c r="M279" s="2">
        <v>44984</v>
      </c>
      <c r="N279" s="2" t="s">
        <v>256</v>
      </c>
      <c r="O279" s="3" t="s">
        <v>332</v>
      </c>
      <c r="P279" s="3" t="s">
        <v>426</v>
      </c>
      <c r="Q279" s="744">
        <f>200000000-32874384-53000000</f>
        <v>114125616</v>
      </c>
      <c r="R279" s="62"/>
      <c r="S279" s="63"/>
      <c r="T279" s="94" t="s">
        <v>401</v>
      </c>
      <c r="U279" s="811">
        <v>91121632.349999994</v>
      </c>
      <c r="V279" s="803">
        <v>79497834.349999994</v>
      </c>
      <c r="W279" s="827">
        <f>+V279-Q279</f>
        <v>-34627781.650000006</v>
      </c>
      <c r="X279" s="821"/>
    </row>
    <row r="280" spans="2:24" ht="15.75" x14ac:dyDescent="0.2">
      <c r="B280" s="313" t="s">
        <v>7</v>
      </c>
      <c r="C280" s="313" t="s">
        <v>29</v>
      </c>
      <c r="D280" s="313"/>
      <c r="E280" s="313"/>
      <c r="F280" s="313"/>
      <c r="G280" s="313"/>
      <c r="H280" s="313"/>
      <c r="I280" s="313"/>
      <c r="J280" s="313"/>
      <c r="K280" s="336"/>
      <c r="L280" s="242" t="s">
        <v>107</v>
      </c>
      <c r="M280" s="776"/>
      <c r="N280" s="776"/>
      <c r="O280" s="777"/>
      <c r="P280" s="777"/>
      <c r="Q280" s="752">
        <f>SUM(Q281+Q283)</f>
        <v>2891000000</v>
      </c>
      <c r="R280" s="219"/>
      <c r="S280" s="219"/>
      <c r="T280" s="693"/>
      <c r="U280" s="809"/>
      <c r="V280" s="799"/>
      <c r="W280" s="826"/>
      <c r="X280" s="821"/>
    </row>
    <row r="281" spans="2:24" ht="15.75" x14ac:dyDescent="0.2">
      <c r="B281" s="146" t="s">
        <v>7</v>
      </c>
      <c r="C281" s="146" t="s">
        <v>29</v>
      </c>
      <c r="D281" s="146" t="s">
        <v>8</v>
      </c>
      <c r="E281" s="146"/>
      <c r="F281" s="146"/>
      <c r="G281" s="146"/>
      <c r="H281" s="146"/>
      <c r="I281" s="146"/>
      <c r="J281" s="146"/>
      <c r="K281" s="337"/>
      <c r="L281" s="243" t="s">
        <v>108</v>
      </c>
      <c r="M281" s="778"/>
      <c r="N281" s="778"/>
      <c r="O281" s="779"/>
      <c r="P281" s="779"/>
      <c r="Q281" s="753">
        <f>+Q282</f>
        <v>111000000</v>
      </c>
      <c r="R281" s="220"/>
      <c r="S281" s="220"/>
      <c r="T281" s="694"/>
      <c r="U281" s="809"/>
      <c r="V281" s="799"/>
      <c r="W281" s="826"/>
      <c r="X281" s="821"/>
    </row>
    <row r="282" spans="2:24" ht="15.75" x14ac:dyDescent="0.2">
      <c r="B282" s="324"/>
      <c r="C282" s="306"/>
      <c r="D282" s="306"/>
      <c r="E282" s="306"/>
      <c r="F282" s="306"/>
      <c r="G282" s="306"/>
      <c r="H282" s="306"/>
      <c r="I282" s="306"/>
      <c r="J282" s="346"/>
      <c r="K282" s="304"/>
      <c r="L282" s="129" t="s">
        <v>108</v>
      </c>
      <c r="M282" s="60"/>
      <c r="N282" s="60"/>
      <c r="O282" s="60"/>
      <c r="P282" s="60"/>
      <c r="Q282" s="744">
        <v>111000000</v>
      </c>
      <c r="R282" s="62"/>
      <c r="S282" s="152"/>
      <c r="T282" s="695" t="s">
        <v>163</v>
      </c>
      <c r="U282" s="815">
        <v>111000000</v>
      </c>
      <c r="V282" s="805">
        <v>4792839</v>
      </c>
      <c r="W282" s="827">
        <f t="shared" ref="W282:W345" si="6">+V282-Q282</f>
        <v>-106207161</v>
      </c>
      <c r="X282" s="821"/>
    </row>
    <row r="283" spans="2:24" ht="15.75" x14ac:dyDescent="0.2">
      <c r="B283" s="146" t="s">
        <v>7</v>
      </c>
      <c r="C283" s="146" t="s">
        <v>29</v>
      </c>
      <c r="D283" s="146" t="s">
        <v>23</v>
      </c>
      <c r="E283" s="146"/>
      <c r="F283" s="146"/>
      <c r="G283" s="146"/>
      <c r="H283" s="146"/>
      <c r="I283" s="146"/>
      <c r="J283" s="146"/>
      <c r="K283" s="337"/>
      <c r="L283" s="243" t="s">
        <v>109</v>
      </c>
      <c r="M283" s="778"/>
      <c r="N283" s="778"/>
      <c r="O283" s="779"/>
      <c r="P283" s="779"/>
      <c r="Q283" s="753">
        <f>+Q284</f>
        <v>2780000000</v>
      </c>
      <c r="R283" s="220"/>
      <c r="S283" s="220"/>
      <c r="T283" s="694"/>
      <c r="U283" s="809"/>
      <c r="V283" s="799"/>
      <c r="W283" s="826"/>
      <c r="X283" s="821"/>
    </row>
    <row r="284" spans="2:24" ht="15.75" x14ac:dyDescent="0.2">
      <c r="B284" s="324"/>
      <c r="C284" s="306"/>
      <c r="D284" s="306"/>
      <c r="E284" s="306"/>
      <c r="F284" s="306"/>
      <c r="G284" s="306"/>
      <c r="H284" s="306"/>
      <c r="I284" s="306"/>
      <c r="J284" s="346"/>
      <c r="K284" s="304"/>
      <c r="L284" s="129" t="s">
        <v>181</v>
      </c>
      <c r="M284" s="60"/>
      <c r="N284" s="60"/>
      <c r="O284" s="60"/>
      <c r="P284" s="60"/>
      <c r="Q284" s="744">
        <f>5600000000-2360000000-460000000</f>
        <v>2780000000</v>
      </c>
      <c r="R284" s="62"/>
      <c r="S284" s="152"/>
      <c r="T284" s="695" t="s">
        <v>188</v>
      </c>
      <c r="U284" s="815">
        <v>1219506901.78</v>
      </c>
      <c r="V284" s="805">
        <v>1219506901.78</v>
      </c>
      <c r="W284" s="827">
        <f t="shared" si="6"/>
        <v>-1560493098.22</v>
      </c>
    </row>
    <row r="285" spans="2:24" ht="15.75" x14ac:dyDescent="0.2">
      <c r="B285" s="314" t="s">
        <v>7</v>
      </c>
      <c r="C285" s="314" t="s">
        <v>30</v>
      </c>
      <c r="D285" s="314"/>
      <c r="E285" s="314"/>
      <c r="F285" s="314"/>
      <c r="G285" s="314"/>
      <c r="H285" s="314"/>
      <c r="I285" s="314"/>
      <c r="J285" s="314"/>
      <c r="K285" s="338"/>
      <c r="L285" s="244" t="s">
        <v>110</v>
      </c>
      <c r="M285" s="780"/>
      <c r="N285" s="780"/>
      <c r="O285" s="781"/>
      <c r="P285" s="781"/>
      <c r="Q285" s="754">
        <f>SUM(Q286+Q294+Q297)</f>
        <v>4163000000</v>
      </c>
      <c r="R285" s="221"/>
      <c r="S285" s="221"/>
      <c r="T285" s="696"/>
      <c r="U285" s="809"/>
      <c r="V285" s="799"/>
      <c r="W285" s="826"/>
    </row>
    <row r="286" spans="2:24" ht="15.75" x14ac:dyDescent="0.2">
      <c r="B286" s="161" t="s">
        <v>7</v>
      </c>
      <c r="C286" s="161" t="s">
        <v>30</v>
      </c>
      <c r="D286" s="161" t="s">
        <v>8</v>
      </c>
      <c r="E286" s="161"/>
      <c r="F286" s="161"/>
      <c r="G286" s="161"/>
      <c r="H286" s="161"/>
      <c r="I286" s="161"/>
      <c r="J286" s="161"/>
      <c r="K286" s="339"/>
      <c r="L286" s="245" t="s">
        <v>111</v>
      </c>
      <c r="M286" s="782"/>
      <c r="N286" s="782"/>
      <c r="O286" s="783"/>
      <c r="P286" s="783"/>
      <c r="Q286" s="755">
        <f>+Q287</f>
        <v>3753000000</v>
      </c>
      <c r="R286" s="222"/>
      <c r="S286" s="222"/>
      <c r="T286" s="697"/>
      <c r="U286" s="809"/>
      <c r="V286" s="799"/>
      <c r="W286" s="826"/>
    </row>
    <row r="287" spans="2:24" x14ac:dyDescent="0.2">
      <c r="B287" s="167" t="s">
        <v>7</v>
      </c>
      <c r="C287" s="167" t="s">
        <v>30</v>
      </c>
      <c r="D287" s="167" t="s">
        <v>8</v>
      </c>
      <c r="E287" s="167" t="s">
        <v>20</v>
      </c>
      <c r="F287" s="167"/>
      <c r="G287" s="167"/>
      <c r="H287" s="167"/>
      <c r="I287" s="167"/>
      <c r="J287" s="167"/>
      <c r="K287" s="340"/>
      <c r="L287" s="246" t="s">
        <v>112</v>
      </c>
      <c r="M287" s="169"/>
      <c r="N287" s="169"/>
      <c r="O287" s="170"/>
      <c r="P287" s="170"/>
      <c r="Q287" s="756">
        <f>+Q288+Q290+Q292</f>
        <v>3753000000</v>
      </c>
      <c r="R287" s="223"/>
      <c r="S287" s="223"/>
      <c r="T287" s="698"/>
      <c r="U287" s="810"/>
      <c r="V287" s="800"/>
      <c r="W287" s="826"/>
    </row>
    <row r="288" spans="2:24" x14ac:dyDescent="0.2">
      <c r="B288" s="39" t="s">
        <v>7</v>
      </c>
      <c r="C288" s="39" t="s">
        <v>30</v>
      </c>
      <c r="D288" s="39" t="s">
        <v>8</v>
      </c>
      <c r="E288" s="39" t="s">
        <v>20</v>
      </c>
      <c r="F288" s="39" t="s">
        <v>9</v>
      </c>
      <c r="G288" s="39"/>
      <c r="H288" s="39"/>
      <c r="I288" s="39"/>
      <c r="J288" s="39"/>
      <c r="K288" s="329"/>
      <c r="L288" s="233" t="s">
        <v>113</v>
      </c>
      <c r="M288" s="41"/>
      <c r="N288" s="41"/>
      <c r="O288" s="42"/>
      <c r="P288" s="42"/>
      <c r="Q288" s="741">
        <f>+Q289</f>
        <v>3675000000</v>
      </c>
      <c r="R288" s="211"/>
      <c r="S288" s="211"/>
      <c r="T288" s="682"/>
      <c r="U288" s="810"/>
      <c r="V288" s="800"/>
      <c r="W288" s="826"/>
    </row>
    <row r="289" spans="2:23" x14ac:dyDescent="0.2">
      <c r="B289" s="321"/>
      <c r="C289" s="93"/>
      <c r="D289" s="93"/>
      <c r="E289" s="93"/>
      <c r="F289" s="93"/>
      <c r="G289" s="93"/>
      <c r="H289" s="93"/>
      <c r="I289" s="93"/>
      <c r="J289" s="344"/>
      <c r="K289" s="714"/>
      <c r="L289" s="129" t="s">
        <v>113</v>
      </c>
      <c r="M289" s="60"/>
      <c r="N289" s="60"/>
      <c r="O289" s="60"/>
      <c r="P289" s="60"/>
      <c r="Q289" s="751">
        <f>3475000000+200000000</f>
        <v>3675000000</v>
      </c>
      <c r="R289" s="62"/>
      <c r="S289" s="172"/>
      <c r="T289" s="695" t="s">
        <v>187</v>
      </c>
      <c r="U289" s="815">
        <v>3245929168</v>
      </c>
      <c r="V289" s="805">
        <v>3245929168</v>
      </c>
      <c r="W289" s="827">
        <f t="shared" si="6"/>
        <v>-429070832</v>
      </c>
    </row>
    <row r="290" spans="2:23" x14ac:dyDescent="0.2">
      <c r="B290" s="39" t="s">
        <v>7</v>
      </c>
      <c r="C290" s="39" t="s">
        <v>30</v>
      </c>
      <c r="D290" s="39" t="s">
        <v>8</v>
      </c>
      <c r="E290" s="39" t="s">
        <v>20</v>
      </c>
      <c r="F290" s="39" t="s">
        <v>11</v>
      </c>
      <c r="G290" s="39"/>
      <c r="H290" s="39"/>
      <c r="I290" s="39"/>
      <c r="J290" s="39"/>
      <c r="K290" s="329"/>
      <c r="L290" s="233" t="s">
        <v>114</v>
      </c>
      <c r="M290" s="41"/>
      <c r="N290" s="41"/>
      <c r="O290" s="42"/>
      <c r="P290" s="42"/>
      <c r="Q290" s="741">
        <f>+Q291</f>
        <v>75000000</v>
      </c>
      <c r="R290" s="211"/>
      <c r="S290" s="211"/>
      <c r="T290" s="682"/>
      <c r="U290" s="810"/>
      <c r="V290" s="800"/>
      <c r="W290" s="826"/>
    </row>
    <row r="291" spans="2:23" x14ac:dyDescent="0.2">
      <c r="B291" s="321"/>
      <c r="C291" s="93"/>
      <c r="D291" s="93"/>
      <c r="E291" s="93"/>
      <c r="F291" s="93"/>
      <c r="G291" s="93"/>
      <c r="H291" s="93"/>
      <c r="I291" s="93"/>
      <c r="J291" s="344"/>
      <c r="K291" s="303"/>
      <c r="L291" s="58" t="s">
        <v>114</v>
      </c>
      <c r="M291" s="60"/>
      <c r="N291" s="60"/>
      <c r="O291" s="60"/>
      <c r="P291" s="60"/>
      <c r="Q291" s="744">
        <v>75000000</v>
      </c>
      <c r="R291" s="62"/>
      <c r="S291" s="63"/>
      <c r="T291" s="94" t="s">
        <v>464</v>
      </c>
      <c r="U291" s="811">
        <v>49982267</v>
      </c>
      <c r="V291" s="803">
        <v>49982267</v>
      </c>
      <c r="W291" s="827">
        <f t="shared" si="6"/>
        <v>-25017733</v>
      </c>
    </row>
    <row r="292" spans="2:23" x14ac:dyDescent="0.2">
      <c r="B292" s="39" t="s">
        <v>7</v>
      </c>
      <c r="C292" s="39" t="s">
        <v>30</v>
      </c>
      <c r="D292" s="39" t="s">
        <v>8</v>
      </c>
      <c r="E292" s="39" t="s">
        <v>20</v>
      </c>
      <c r="F292" s="39" t="s">
        <v>14</v>
      </c>
      <c r="G292" s="39"/>
      <c r="H292" s="39"/>
      <c r="I292" s="39"/>
      <c r="J292" s="39"/>
      <c r="K292" s="329"/>
      <c r="L292" s="233" t="s">
        <v>115</v>
      </c>
      <c r="M292" s="41"/>
      <c r="N292" s="41"/>
      <c r="O292" s="42"/>
      <c r="P292" s="42"/>
      <c r="Q292" s="741">
        <f>+Q293</f>
        <v>3000000</v>
      </c>
      <c r="R292" s="211"/>
      <c r="S292" s="211"/>
      <c r="T292" s="682"/>
      <c r="U292" s="810"/>
      <c r="V292" s="800"/>
      <c r="W292" s="826"/>
    </row>
    <row r="293" spans="2:23" x14ac:dyDescent="0.2">
      <c r="B293" s="321"/>
      <c r="C293" s="93"/>
      <c r="D293" s="93"/>
      <c r="E293" s="93"/>
      <c r="F293" s="93"/>
      <c r="G293" s="93"/>
      <c r="H293" s="93"/>
      <c r="I293" s="93"/>
      <c r="J293" s="344"/>
      <c r="K293" s="303"/>
      <c r="L293" s="58" t="s">
        <v>115</v>
      </c>
      <c r="M293" s="60"/>
      <c r="N293" s="60"/>
      <c r="O293" s="60"/>
      <c r="P293" s="60"/>
      <c r="Q293" s="744">
        <v>3000000</v>
      </c>
      <c r="R293" s="62"/>
      <c r="S293" s="63"/>
      <c r="T293" s="94" t="s">
        <v>358</v>
      </c>
      <c r="U293" s="811">
        <v>1432708</v>
      </c>
      <c r="V293" s="803">
        <v>1432708</v>
      </c>
      <c r="W293" s="827">
        <f t="shared" si="6"/>
        <v>-1567292</v>
      </c>
    </row>
    <row r="294" spans="2:23" ht="15.75" x14ac:dyDescent="0.2">
      <c r="B294" s="161" t="s">
        <v>7</v>
      </c>
      <c r="C294" s="161" t="s">
        <v>30</v>
      </c>
      <c r="D294" s="161" t="s">
        <v>24</v>
      </c>
      <c r="E294" s="161"/>
      <c r="F294" s="161"/>
      <c r="G294" s="161"/>
      <c r="H294" s="161"/>
      <c r="I294" s="161"/>
      <c r="J294" s="161"/>
      <c r="K294" s="339"/>
      <c r="L294" s="245" t="s">
        <v>116</v>
      </c>
      <c r="M294" s="782"/>
      <c r="N294" s="782"/>
      <c r="O294" s="783"/>
      <c r="P294" s="783"/>
      <c r="Q294" s="755">
        <f>+Q295+Q296</f>
        <v>360000000</v>
      </c>
      <c r="R294" s="222"/>
      <c r="S294" s="222"/>
      <c r="T294" s="697"/>
      <c r="U294" s="809"/>
      <c r="V294" s="799"/>
      <c r="W294" s="826"/>
    </row>
    <row r="295" spans="2:23" x14ac:dyDescent="0.2">
      <c r="B295" s="167" t="s">
        <v>7</v>
      </c>
      <c r="C295" s="167" t="s">
        <v>30</v>
      </c>
      <c r="D295" s="167" t="s">
        <v>24</v>
      </c>
      <c r="E295" s="167" t="s">
        <v>8</v>
      </c>
      <c r="F295" s="167"/>
      <c r="G295" s="167"/>
      <c r="H295" s="167"/>
      <c r="I295" s="167"/>
      <c r="J295" s="167"/>
      <c r="K295" s="340"/>
      <c r="L295" s="246" t="s">
        <v>117</v>
      </c>
      <c r="M295" s="169"/>
      <c r="N295" s="169"/>
      <c r="O295" s="170"/>
      <c r="P295" s="170"/>
      <c r="Q295" s="757">
        <v>128000000</v>
      </c>
      <c r="R295" s="167"/>
      <c r="S295" s="173"/>
      <c r="T295" s="698"/>
      <c r="U295" s="810"/>
      <c r="V295" s="800"/>
      <c r="W295" s="826"/>
    </row>
    <row r="296" spans="2:23" x14ac:dyDescent="0.2">
      <c r="B296" s="167" t="s">
        <v>7</v>
      </c>
      <c r="C296" s="167" t="s">
        <v>30</v>
      </c>
      <c r="D296" s="167" t="s">
        <v>24</v>
      </c>
      <c r="E296" s="167" t="s">
        <v>24</v>
      </c>
      <c r="F296" s="167"/>
      <c r="G296" s="167"/>
      <c r="H296" s="167"/>
      <c r="I296" s="167"/>
      <c r="J296" s="167"/>
      <c r="K296" s="340"/>
      <c r="L296" s="246" t="s">
        <v>242</v>
      </c>
      <c r="M296" s="169"/>
      <c r="N296" s="169"/>
      <c r="O296" s="170"/>
      <c r="P296" s="170"/>
      <c r="Q296" s="757">
        <v>232000000</v>
      </c>
      <c r="R296" s="167"/>
      <c r="S296" s="173"/>
      <c r="T296" s="698" t="s">
        <v>187</v>
      </c>
      <c r="U296" s="810"/>
      <c r="V296" s="800"/>
      <c r="W296" s="826"/>
    </row>
    <row r="297" spans="2:23" ht="15.75" x14ac:dyDescent="0.2">
      <c r="B297" s="161" t="s">
        <v>7</v>
      </c>
      <c r="C297" s="161" t="s">
        <v>30</v>
      </c>
      <c r="D297" s="174" t="s">
        <v>27</v>
      </c>
      <c r="E297" s="161"/>
      <c r="F297" s="161"/>
      <c r="G297" s="161"/>
      <c r="H297" s="161"/>
      <c r="I297" s="161"/>
      <c r="J297" s="161"/>
      <c r="K297" s="339"/>
      <c r="L297" s="245" t="s">
        <v>421</v>
      </c>
      <c r="M297" s="782"/>
      <c r="N297" s="782"/>
      <c r="O297" s="783"/>
      <c r="P297" s="783"/>
      <c r="Q297" s="755">
        <f>+Q298</f>
        <v>50000000</v>
      </c>
      <c r="R297" s="222"/>
      <c r="S297" s="222"/>
      <c r="T297" s="697"/>
      <c r="U297" s="809"/>
      <c r="V297" s="799"/>
      <c r="W297" s="826"/>
    </row>
    <row r="298" spans="2:23" x14ac:dyDescent="0.2">
      <c r="B298" s="167" t="s">
        <v>7</v>
      </c>
      <c r="C298" s="167" t="s">
        <v>30</v>
      </c>
      <c r="D298" s="175" t="s">
        <v>27</v>
      </c>
      <c r="E298" s="167"/>
      <c r="F298" s="167"/>
      <c r="G298" s="167"/>
      <c r="H298" s="167"/>
      <c r="I298" s="167"/>
      <c r="J298" s="167"/>
      <c r="K298" s="340"/>
      <c r="L298" s="246" t="s">
        <v>421</v>
      </c>
      <c r="M298" s="169"/>
      <c r="N298" s="169"/>
      <c r="O298" s="170"/>
      <c r="P298" s="170"/>
      <c r="Q298" s="757">
        <v>50000000</v>
      </c>
      <c r="R298" s="167"/>
      <c r="S298" s="173"/>
      <c r="T298" s="698"/>
      <c r="U298" s="810"/>
      <c r="V298" s="800"/>
      <c r="W298" s="826"/>
    </row>
    <row r="299" spans="2:23" ht="15.75" x14ac:dyDescent="0.2">
      <c r="B299" s="177" t="s">
        <v>132</v>
      </c>
      <c r="C299" s="177"/>
      <c r="D299" s="177"/>
      <c r="E299" s="177"/>
      <c r="F299" s="177"/>
      <c r="G299" s="177"/>
      <c r="H299" s="177"/>
      <c r="I299" s="177"/>
      <c r="J299" s="177"/>
      <c r="K299" s="341"/>
      <c r="L299" s="247" t="s">
        <v>135</v>
      </c>
      <c r="M299" s="784"/>
      <c r="N299" s="784"/>
      <c r="O299" s="785"/>
      <c r="P299" s="785"/>
      <c r="Q299" s="758">
        <f>+Q300+Q342</f>
        <v>19265000000</v>
      </c>
      <c r="R299" s="224"/>
      <c r="S299" s="224"/>
      <c r="T299" s="699"/>
      <c r="U299" s="809"/>
      <c r="V299" s="799"/>
      <c r="W299" s="826"/>
    </row>
    <row r="300" spans="2:23" ht="15.75" x14ac:dyDescent="0.2">
      <c r="B300" s="183" t="s">
        <v>132</v>
      </c>
      <c r="C300" s="183"/>
      <c r="D300" s="183" t="s">
        <v>133</v>
      </c>
      <c r="E300" s="183"/>
      <c r="F300" s="183"/>
      <c r="G300" s="183"/>
      <c r="H300" s="183"/>
      <c r="I300" s="183"/>
      <c r="J300" s="183"/>
      <c r="K300" s="342"/>
      <c r="L300" s="248" t="s">
        <v>136</v>
      </c>
      <c r="M300" s="185"/>
      <c r="N300" s="185"/>
      <c r="O300" s="186"/>
      <c r="P300" s="186"/>
      <c r="Q300" s="759">
        <f>+Q301</f>
        <v>16777000000.000002</v>
      </c>
      <c r="R300" s="225"/>
      <c r="S300" s="225"/>
      <c r="T300" s="700"/>
      <c r="U300" s="814"/>
      <c r="V300" s="802"/>
      <c r="W300" s="826"/>
    </row>
    <row r="301" spans="2:23" ht="15.75" x14ac:dyDescent="0.2">
      <c r="B301" s="189" t="s">
        <v>132</v>
      </c>
      <c r="C301" s="189"/>
      <c r="D301" s="189" t="s">
        <v>133</v>
      </c>
      <c r="E301" s="189"/>
      <c r="F301" s="189" t="s">
        <v>134</v>
      </c>
      <c r="G301" s="189"/>
      <c r="H301" s="189"/>
      <c r="I301" s="189"/>
      <c r="J301" s="189"/>
      <c r="K301" s="343"/>
      <c r="L301" s="249" t="s">
        <v>137</v>
      </c>
      <c r="M301" s="191"/>
      <c r="N301" s="191"/>
      <c r="O301" s="192"/>
      <c r="P301" s="192"/>
      <c r="Q301" s="760">
        <f>+Q302+Q319</f>
        <v>16777000000.000002</v>
      </c>
      <c r="R301" s="226"/>
      <c r="S301" s="226"/>
      <c r="T301" s="701"/>
      <c r="U301" s="814"/>
      <c r="V301" s="802"/>
      <c r="W301" s="826"/>
    </row>
    <row r="302" spans="2:23" ht="15.75" x14ac:dyDescent="0.2">
      <c r="B302" s="39" t="s">
        <v>132</v>
      </c>
      <c r="C302" s="39"/>
      <c r="D302" s="39" t="s">
        <v>133</v>
      </c>
      <c r="E302" s="39"/>
      <c r="F302" s="39" t="s">
        <v>134</v>
      </c>
      <c r="G302" s="39"/>
      <c r="H302" s="39">
        <v>4</v>
      </c>
      <c r="I302" s="39"/>
      <c r="J302" s="39"/>
      <c r="K302" s="329"/>
      <c r="L302" s="233" t="s">
        <v>142</v>
      </c>
      <c r="M302" s="41"/>
      <c r="N302" s="41"/>
      <c r="O302" s="42"/>
      <c r="P302" s="42"/>
      <c r="Q302" s="761">
        <f>+Q303</f>
        <v>8142000000</v>
      </c>
      <c r="R302" s="227"/>
      <c r="S302" s="227"/>
      <c r="T302" s="702"/>
      <c r="U302" s="814"/>
      <c r="V302" s="802"/>
      <c r="W302" s="826"/>
    </row>
    <row r="303" spans="2:23" ht="15.75" x14ac:dyDescent="0.2">
      <c r="B303" s="308" t="s">
        <v>7</v>
      </c>
      <c r="C303" s="308" t="s">
        <v>20</v>
      </c>
      <c r="D303" s="308"/>
      <c r="E303" s="308"/>
      <c r="F303" s="308"/>
      <c r="G303" s="308"/>
      <c r="H303" s="308"/>
      <c r="I303" s="308"/>
      <c r="J303" s="308"/>
      <c r="K303" s="326"/>
      <c r="L303" s="315" t="s">
        <v>244</v>
      </c>
      <c r="M303" s="195"/>
      <c r="N303" s="195"/>
      <c r="O303" s="196"/>
      <c r="P303" s="196"/>
      <c r="Q303" s="738">
        <f>SUM(Q304:Q318)</f>
        <v>8142000000</v>
      </c>
      <c r="R303" s="228">
        <v>8142000000</v>
      </c>
      <c r="S303" s="228">
        <f>+R303-Q303</f>
        <v>0</v>
      </c>
      <c r="T303" s="703"/>
      <c r="U303" s="814"/>
      <c r="V303" s="802"/>
      <c r="W303" s="826"/>
    </row>
    <row r="304" spans="2:23" ht="45" x14ac:dyDescent="0.2">
      <c r="B304" s="321"/>
      <c r="C304" s="93"/>
      <c r="D304" s="93"/>
      <c r="E304" s="93"/>
      <c r="F304" s="93"/>
      <c r="G304" s="93"/>
      <c r="H304" s="93"/>
      <c r="I304" s="93"/>
      <c r="J304" s="344"/>
      <c r="K304" s="706" t="s">
        <v>223</v>
      </c>
      <c r="L304" s="58" t="s">
        <v>106092</v>
      </c>
      <c r="M304" s="59">
        <v>45000</v>
      </c>
      <c r="N304" s="59" t="s">
        <v>424</v>
      </c>
      <c r="O304" s="60" t="s">
        <v>202</v>
      </c>
      <c r="P304" s="60" t="s">
        <v>106014</v>
      </c>
      <c r="Q304" s="746">
        <v>1800000000</v>
      </c>
      <c r="R304" s="792" t="s">
        <v>211</v>
      </c>
      <c r="S304" s="725">
        <v>4138111605.7019501</v>
      </c>
      <c r="T304" s="675" t="s">
        <v>106075</v>
      </c>
      <c r="U304" s="816">
        <v>1800000000</v>
      </c>
      <c r="V304" s="806"/>
      <c r="W304" s="827">
        <f t="shared" si="6"/>
        <v>-1800000000</v>
      </c>
    </row>
    <row r="305" spans="2:23" ht="30" x14ac:dyDescent="0.2">
      <c r="B305" s="321"/>
      <c r="C305" s="93"/>
      <c r="D305" s="93"/>
      <c r="E305" s="93"/>
      <c r="F305" s="93"/>
      <c r="G305" s="93"/>
      <c r="H305" s="93"/>
      <c r="I305" s="93"/>
      <c r="J305" s="344"/>
      <c r="K305" s="706">
        <v>81101500</v>
      </c>
      <c r="L305" s="58" t="s">
        <v>106093</v>
      </c>
      <c r="M305" s="59">
        <v>45000</v>
      </c>
      <c r="N305" s="59" t="s">
        <v>424</v>
      </c>
      <c r="O305" s="60" t="s">
        <v>202</v>
      </c>
      <c r="P305" s="60" t="s">
        <v>447</v>
      </c>
      <c r="Q305" s="746">
        <v>162000000</v>
      </c>
      <c r="R305" s="792" t="s">
        <v>211</v>
      </c>
      <c r="S305" s="725">
        <v>550573392.68423378</v>
      </c>
      <c r="T305" s="675" t="s">
        <v>106075</v>
      </c>
      <c r="U305" s="816">
        <v>162000000</v>
      </c>
      <c r="V305" s="806"/>
      <c r="W305" s="827">
        <f t="shared" si="6"/>
        <v>-162000000</v>
      </c>
    </row>
    <row r="306" spans="2:23" ht="45" x14ac:dyDescent="0.2">
      <c r="B306" s="321"/>
      <c r="C306" s="93"/>
      <c r="D306" s="93"/>
      <c r="E306" s="93"/>
      <c r="F306" s="93"/>
      <c r="G306" s="93"/>
      <c r="H306" s="93"/>
      <c r="I306" s="93"/>
      <c r="J306" s="344"/>
      <c r="K306" s="706" t="s">
        <v>223</v>
      </c>
      <c r="L306" s="58" t="s">
        <v>106219</v>
      </c>
      <c r="M306" s="59">
        <v>45017</v>
      </c>
      <c r="N306" s="59" t="s">
        <v>290</v>
      </c>
      <c r="O306" s="60" t="s">
        <v>106094</v>
      </c>
      <c r="P306" s="60" t="s">
        <v>106014</v>
      </c>
      <c r="Q306" s="746">
        <v>2475476585</v>
      </c>
      <c r="R306" s="792" t="s">
        <v>211</v>
      </c>
      <c r="S306" s="725">
        <v>21235476585</v>
      </c>
      <c r="T306" s="675" t="s">
        <v>106075</v>
      </c>
      <c r="U306" s="816">
        <v>2475476585</v>
      </c>
      <c r="V306" s="806"/>
      <c r="W306" s="827">
        <f t="shared" si="6"/>
        <v>-2475476585</v>
      </c>
    </row>
    <row r="307" spans="2:23" ht="30" x14ac:dyDescent="0.2">
      <c r="B307" s="321"/>
      <c r="C307" s="93"/>
      <c r="D307" s="93"/>
      <c r="E307" s="93"/>
      <c r="F307" s="93"/>
      <c r="G307" s="93"/>
      <c r="H307" s="93"/>
      <c r="I307" s="93"/>
      <c r="J307" s="344"/>
      <c r="K307" s="706">
        <v>81101500</v>
      </c>
      <c r="L307" s="58" t="s">
        <v>106015</v>
      </c>
      <c r="M307" s="59">
        <v>45017</v>
      </c>
      <c r="N307" s="59" t="s">
        <v>290</v>
      </c>
      <c r="O307" s="60" t="s">
        <v>106094</v>
      </c>
      <c r="P307" s="60" t="s">
        <v>447</v>
      </c>
      <c r="Q307" s="746">
        <v>225000000</v>
      </c>
      <c r="R307" s="792" t="s">
        <v>211</v>
      </c>
      <c r="S307" s="725">
        <v>3015000000</v>
      </c>
      <c r="T307" s="675" t="s">
        <v>106075</v>
      </c>
      <c r="U307" s="816">
        <v>225000000</v>
      </c>
      <c r="V307" s="806"/>
      <c r="W307" s="827">
        <f t="shared" si="6"/>
        <v>-225000000</v>
      </c>
    </row>
    <row r="308" spans="2:23" ht="30" x14ac:dyDescent="0.2">
      <c r="B308" s="321"/>
      <c r="C308" s="93"/>
      <c r="D308" s="93"/>
      <c r="E308" s="93"/>
      <c r="F308" s="93"/>
      <c r="G308" s="93"/>
      <c r="H308" s="93"/>
      <c r="I308" s="93"/>
      <c r="J308" s="344"/>
      <c r="K308" s="706">
        <v>81101500</v>
      </c>
      <c r="L308" s="58" t="s">
        <v>422</v>
      </c>
      <c r="M308" s="59">
        <v>44940</v>
      </c>
      <c r="N308" s="59" t="s">
        <v>273</v>
      </c>
      <c r="O308" s="60" t="s">
        <v>213</v>
      </c>
      <c r="P308" s="60" t="s">
        <v>451</v>
      </c>
      <c r="Q308" s="746">
        <f>722828000-61325569-1895539-31270800-1818747.21</f>
        <v>626517344.78999996</v>
      </c>
      <c r="R308" s="61"/>
      <c r="S308" s="61"/>
      <c r="T308" s="675" t="s">
        <v>106075</v>
      </c>
      <c r="U308" s="816">
        <v>455050291</v>
      </c>
      <c r="V308" s="806">
        <v>212180688</v>
      </c>
      <c r="W308" s="827">
        <f t="shared" si="6"/>
        <v>-414336656.78999996</v>
      </c>
    </row>
    <row r="309" spans="2:23" ht="60" x14ac:dyDescent="0.2">
      <c r="B309" s="321"/>
      <c r="C309" s="93"/>
      <c r="D309" s="93"/>
      <c r="E309" s="93"/>
      <c r="F309" s="93"/>
      <c r="G309" s="93"/>
      <c r="H309" s="93"/>
      <c r="I309" s="93"/>
      <c r="J309" s="344"/>
      <c r="K309" s="706" t="s">
        <v>106216</v>
      </c>
      <c r="L309" s="58" t="s">
        <v>106215</v>
      </c>
      <c r="M309" s="59"/>
      <c r="N309" s="59"/>
      <c r="O309" s="60"/>
      <c r="P309" s="60"/>
      <c r="Q309" s="746">
        <v>31270800</v>
      </c>
      <c r="R309" s="61"/>
      <c r="S309" s="61"/>
      <c r="T309" s="675" t="s">
        <v>106075</v>
      </c>
      <c r="U309" s="816">
        <v>15635400</v>
      </c>
      <c r="V309" s="806">
        <v>15635400</v>
      </c>
      <c r="W309" s="827">
        <f t="shared" si="6"/>
        <v>-15635400</v>
      </c>
    </row>
    <row r="310" spans="2:23" ht="30" x14ac:dyDescent="0.2">
      <c r="B310" s="321"/>
      <c r="C310" s="93"/>
      <c r="D310" s="93"/>
      <c r="E310" s="93"/>
      <c r="F310" s="93"/>
      <c r="G310" s="93"/>
      <c r="H310" s="93"/>
      <c r="I310" s="93"/>
      <c r="J310" s="344"/>
      <c r="K310" s="706"/>
      <c r="L310" s="58" t="s">
        <v>106214</v>
      </c>
      <c r="M310" s="59"/>
      <c r="N310" s="59"/>
      <c r="O310" s="60"/>
      <c r="P310" s="60" t="s">
        <v>231</v>
      </c>
      <c r="Q310" s="746">
        <v>1895539</v>
      </c>
      <c r="R310" s="61"/>
      <c r="S310" s="61"/>
      <c r="T310" s="675" t="s">
        <v>106075</v>
      </c>
      <c r="U310" s="816">
        <v>1895539</v>
      </c>
      <c r="V310" s="806">
        <v>1895539</v>
      </c>
      <c r="W310" s="827">
        <f t="shared" si="6"/>
        <v>0</v>
      </c>
    </row>
    <row r="311" spans="2:23" x14ac:dyDescent="0.2">
      <c r="B311" s="321"/>
      <c r="C311" s="93"/>
      <c r="D311" s="93"/>
      <c r="E311" s="93"/>
      <c r="F311" s="93"/>
      <c r="G311" s="93"/>
      <c r="H311" s="93"/>
      <c r="I311" s="93"/>
      <c r="J311" s="344"/>
      <c r="K311" s="706"/>
      <c r="L311" s="58" t="s">
        <v>106227</v>
      </c>
      <c r="M311" s="59"/>
      <c r="N311" s="59"/>
      <c r="O311" s="60"/>
      <c r="P311" s="60"/>
      <c r="Q311" s="746">
        <v>1818747.21</v>
      </c>
      <c r="R311" s="61"/>
      <c r="S311" s="61"/>
      <c r="T311" s="675"/>
      <c r="U311" s="816"/>
      <c r="V311" s="806"/>
      <c r="W311" s="827"/>
    </row>
    <row r="312" spans="2:23" ht="45" x14ac:dyDescent="0.2">
      <c r="B312" s="321"/>
      <c r="C312" s="93"/>
      <c r="D312" s="93"/>
      <c r="E312" s="93"/>
      <c r="F312" s="93"/>
      <c r="G312" s="93"/>
      <c r="H312" s="93"/>
      <c r="I312" s="93"/>
      <c r="J312" s="344"/>
      <c r="K312" s="706" t="s">
        <v>223</v>
      </c>
      <c r="L312" s="58" t="s">
        <v>106172</v>
      </c>
      <c r="M312" s="59">
        <v>44972</v>
      </c>
      <c r="N312" s="59" t="s">
        <v>275</v>
      </c>
      <c r="O312" s="60" t="s">
        <v>220</v>
      </c>
      <c r="P312" s="60" t="s">
        <v>106014</v>
      </c>
      <c r="Q312" s="746">
        <v>510000000</v>
      </c>
      <c r="R312" s="61"/>
      <c r="S312" s="61"/>
      <c r="T312" s="675" t="s">
        <v>106075</v>
      </c>
      <c r="U312" s="816">
        <v>319644933</v>
      </c>
      <c r="V312" s="806">
        <v>319644933</v>
      </c>
      <c r="W312" s="827">
        <f t="shared" si="6"/>
        <v>-190355067</v>
      </c>
    </row>
    <row r="313" spans="2:23" ht="30" x14ac:dyDescent="0.2">
      <c r="B313" s="321"/>
      <c r="C313" s="93"/>
      <c r="D313" s="93"/>
      <c r="E313" s="93"/>
      <c r="F313" s="93"/>
      <c r="G313" s="93"/>
      <c r="H313" s="93"/>
      <c r="I313" s="93"/>
      <c r="J313" s="344"/>
      <c r="K313" s="706">
        <v>81101500</v>
      </c>
      <c r="L313" s="58" t="s">
        <v>106173</v>
      </c>
      <c r="M313" s="59">
        <v>44972</v>
      </c>
      <c r="N313" s="59" t="s">
        <v>275</v>
      </c>
      <c r="O313" s="60" t="s">
        <v>220</v>
      </c>
      <c r="P313" s="60" t="s">
        <v>447</v>
      </c>
      <c r="Q313" s="746">
        <v>125423415</v>
      </c>
      <c r="R313" s="61"/>
      <c r="S313" s="61"/>
      <c r="T313" s="675" t="s">
        <v>106075</v>
      </c>
      <c r="U313" s="816">
        <v>55274069</v>
      </c>
      <c r="V313" s="806">
        <v>55274069</v>
      </c>
      <c r="W313" s="827">
        <f t="shared" si="6"/>
        <v>-70149346</v>
      </c>
    </row>
    <row r="314" spans="2:23" ht="45" x14ac:dyDescent="0.2">
      <c r="B314" s="321"/>
      <c r="C314" s="93"/>
      <c r="D314" s="93"/>
      <c r="E314" s="93"/>
      <c r="F314" s="93"/>
      <c r="G314" s="93"/>
      <c r="H314" s="93"/>
      <c r="I314" s="93"/>
      <c r="J314" s="344"/>
      <c r="K314" s="706" t="s">
        <v>223</v>
      </c>
      <c r="L314" s="58" t="s">
        <v>106174</v>
      </c>
      <c r="M314" s="59">
        <v>44727</v>
      </c>
      <c r="N314" s="59" t="s">
        <v>231</v>
      </c>
      <c r="O314" s="60" t="s">
        <v>204</v>
      </c>
      <c r="P314" s="60" t="s">
        <v>106175</v>
      </c>
      <c r="Q314" s="746">
        <v>2056272000</v>
      </c>
      <c r="R314" s="61"/>
      <c r="S314" s="61"/>
      <c r="T314" s="675" t="s">
        <v>106075</v>
      </c>
      <c r="U314" s="816"/>
      <c r="V314" s="806"/>
      <c r="W314" s="827">
        <f t="shared" si="6"/>
        <v>-2056272000</v>
      </c>
    </row>
    <row r="315" spans="2:23" ht="30" x14ac:dyDescent="0.2">
      <c r="B315" s="321"/>
      <c r="C315" s="93"/>
      <c r="D315" s="93"/>
      <c r="E315" s="93"/>
      <c r="F315" s="93"/>
      <c r="G315" s="93"/>
      <c r="H315" s="93"/>
      <c r="I315" s="93"/>
      <c r="J315" s="344"/>
      <c r="K315" s="706">
        <v>90121600</v>
      </c>
      <c r="L315" s="58" t="s">
        <v>272</v>
      </c>
      <c r="M315" s="59">
        <v>44947</v>
      </c>
      <c r="N315" s="59" t="s">
        <v>273</v>
      </c>
      <c r="O315" s="60" t="s">
        <v>213</v>
      </c>
      <c r="P315" s="60" t="s">
        <v>231</v>
      </c>
      <c r="Q315" s="746">
        <v>25000000</v>
      </c>
      <c r="R315" s="61"/>
      <c r="S315" s="61"/>
      <c r="T315" s="675" t="s">
        <v>106075</v>
      </c>
      <c r="U315" s="816">
        <v>25000000</v>
      </c>
      <c r="V315" s="806">
        <v>25000000</v>
      </c>
      <c r="W315" s="827">
        <f t="shared" si="6"/>
        <v>0</v>
      </c>
    </row>
    <row r="316" spans="2:23" ht="30" x14ac:dyDescent="0.2">
      <c r="B316" s="321"/>
      <c r="C316" s="93"/>
      <c r="D316" s="93"/>
      <c r="E316" s="93"/>
      <c r="F316" s="93"/>
      <c r="G316" s="93"/>
      <c r="H316" s="93"/>
      <c r="I316" s="93"/>
      <c r="J316" s="344"/>
      <c r="K316" s="706">
        <v>90111500</v>
      </c>
      <c r="L316" s="58" t="s">
        <v>225</v>
      </c>
      <c r="M316" s="59">
        <v>44947</v>
      </c>
      <c r="N316" s="59" t="s">
        <v>273</v>
      </c>
      <c r="O316" s="60" t="s">
        <v>213</v>
      </c>
      <c r="P316" s="60" t="s">
        <v>231</v>
      </c>
      <c r="Q316" s="746">
        <v>20000000</v>
      </c>
      <c r="R316" s="61"/>
      <c r="S316" s="61"/>
      <c r="T316" s="675" t="s">
        <v>106075</v>
      </c>
      <c r="U316" s="816">
        <v>10000000</v>
      </c>
      <c r="V316" s="806"/>
      <c r="W316" s="827">
        <f t="shared" si="6"/>
        <v>-20000000</v>
      </c>
    </row>
    <row r="317" spans="2:23" ht="30" x14ac:dyDescent="0.2">
      <c r="B317" s="321"/>
      <c r="C317" s="93"/>
      <c r="D317" s="93"/>
      <c r="E317" s="93"/>
      <c r="F317" s="93"/>
      <c r="G317" s="93"/>
      <c r="H317" s="93"/>
      <c r="I317" s="93"/>
      <c r="J317" s="344"/>
      <c r="K317" s="706">
        <v>90111500</v>
      </c>
      <c r="L317" s="58" t="s">
        <v>226</v>
      </c>
      <c r="M317" s="59">
        <v>44947</v>
      </c>
      <c r="N317" s="59" t="s">
        <v>273</v>
      </c>
      <c r="O317" s="60" t="s">
        <v>213</v>
      </c>
      <c r="P317" s="60" t="s">
        <v>231</v>
      </c>
      <c r="Q317" s="746">
        <v>20000000</v>
      </c>
      <c r="R317" s="711"/>
      <c r="S317" s="72"/>
      <c r="T317" s="675" t="s">
        <v>106075</v>
      </c>
      <c r="U317" s="816">
        <v>10000000</v>
      </c>
      <c r="V317" s="806">
        <v>3606783</v>
      </c>
      <c r="W317" s="827">
        <f t="shared" si="6"/>
        <v>-16393217</v>
      </c>
    </row>
    <row r="318" spans="2:23" ht="20.25" customHeight="1" x14ac:dyDescent="0.2">
      <c r="B318" s="321"/>
      <c r="C318" s="93"/>
      <c r="D318" s="93"/>
      <c r="E318" s="93"/>
      <c r="F318" s="93"/>
      <c r="G318" s="93"/>
      <c r="H318" s="93"/>
      <c r="I318" s="93"/>
      <c r="J318" s="344"/>
      <c r="K318" s="706"/>
      <c r="L318" s="58" t="s">
        <v>106205</v>
      </c>
      <c r="M318" s="59"/>
      <c r="N318" s="59"/>
      <c r="O318" s="60"/>
      <c r="P318" s="60"/>
      <c r="Q318" s="746">
        <v>61325569</v>
      </c>
      <c r="R318" s="711"/>
      <c r="S318" s="72"/>
      <c r="T318" s="675" t="s">
        <v>106075</v>
      </c>
      <c r="U318" s="816">
        <v>61325569</v>
      </c>
      <c r="V318" s="806">
        <v>61325569</v>
      </c>
      <c r="W318" s="827">
        <f t="shared" si="6"/>
        <v>0</v>
      </c>
    </row>
    <row r="319" spans="2:23" ht="30" x14ac:dyDescent="0.2">
      <c r="B319" s="39" t="s">
        <v>132</v>
      </c>
      <c r="C319" s="39"/>
      <c r="D319" s="39" t="s">
        <v>133</v>
      </c>
      <c r="E319" s="39"/>
      <c r="F319" s="39" t="s">
        <v>134</v>
      </c>
      <c r="G319" s="39"/>
      <c r="H319" s="39" t="s">
        <v>32</v>
      </c>
      <c r="I319" s="39"/>
      <c r="J319" s="39"/>
      <c r="K319" s="329"/>
      <c r="L319" s="233" t="s">
        <v>149</v>
      </c>
      <c r="M319" s="41"/>
      <c r="N319" s="41"/>
      <c r="O319" s="42"/>
      <c r="P319" s="42"/>
      <c r="Q319" s="741">
        <f>+Q320</f>
        <v>8635000000.0000019</v>
      </c>
      <c r="R319" s="211">
        <v>8635000000</v>
      </c>
      <c r="S319" s="211">
        <f>+R319-Q319</f>
        <v>0</v>
      </c>
      <c r="T319" s="682"/>
      <c r="U319" s="810"/>
      <c r="V319" s="800"/>
      <c r="W319" s="826"/>
    </row>
    <row r="320" spans="2:23" ht="15.75" x14ac:dyDescent="0.2">
      <c r="B320" s="308" t="s">
        <v>7</v>
      </c>
      <c r="C320" s="308" t="s">
        <v>20</v>
      </c>
      <c r="D320" s="308"/>
      <c r="E320" s="308"/>
      <c r="F320" s="308"/>
      <c r="G320" s="308"/>
      <c r="H320" s="308"/>
      <c r="I320" s="308"/>
      <c r="J320" s="308"/>
      <c r="K320" s="326"/>
      <c r="L320" s="315" t="s">
        <v>244</v>
      </c>
      <c r="M320" s="195"/>
      <c r="N320" s="195"/>
      <c r="O320" s="196"/>
      <c r="P320" s="196"/>
      <c r="Q320" s="762">
        <f>SUM(Q321:Q339)</f>
        <v>8635000000.0000019</v>
      </c>
      <c r="R320" s="229"/>
      <c r="S320" s="229"/>
      <c r="T320" s="704"/>
      <c r="U320" s="810"/>
      <c r="V320" s="800"/>
      <c r="W320" s="826"/>
    </row>
    <row r="321" spans="1:23" ht="45" x14ac:dyDescent="0.2">
      <c r="A321" s="712"/>
      <c r="B321" s="321"/>
      <c r="C321" s="93"/>
      <c r="D321" s="93"/>
      <c r="E321" s="93"/>
      <c r="F321" s="93"/>
      <c r="G321" s="93"/>
      <c r="H321" s="93"/>
      <c r="I321" s="93"/>
      <c r="J321" s="344"/>
      <c r="K321" s="706" t="s">
        <v>223</v>
      </c>
      <c r="L321" s="58" t="s">
        <v>106095</v>
      </c>
      <c r="M321" s="59">
        <v>45061</v>
      </c>
      <c r="N321" s="60" t="s">
        <v>106176</v>
      </c>
      <c r="O321" s="60" t="s">
        <v>200</v>
      </c>
      <c r="P321" s="60" t="s">
        <v>277</v>
      </c>
      <c r="Q321" s="746">
        <v>1300000000</v>
      </c>
      <c r="R321" s="62" t="s">
        <v>211</v>
      </c>
      <c r="S321" s="72">
        <v>860000000</v>
      </c>
      <c r="T321" s="688" t="s">
        <v>106075</v>
      </c>
      <c r="U321" s="812">
        <v>1300000000</v>
      </c>
      <c r="V321" s="804"/>
      <c r="W321" s="827">
        <f t="shared" si="6"/>
        <v>-1300000000</v>
      </c>
    </row>
    <row r="322" spans="1:23" ht="30" x14ac:dyDescent="0.2">
      <c r="B322" s="321"/>
      <c r="C322" s="93"/>
      <c r="D322" s="93"/>
      <c r="E322" s="93"/>
      <c r="F322" s="93"/>
      <c r="G322" s="93"/>
      <c r="H322" s="93"/>
      <c r="I322" s="93"/>
      <c r="J322" s="344"/>
      <c r="K322" s="328">
        <v>81101500</v>
      </c>
      <c r="L322" s="58" t="s">
        <v>106078</v>
      </c>
      <c r="M322" s="59">
        <v>45061</v>
      </c>
      <c r="N322" s="60" t="s">
        <v>106176</v>
      </c>
      <c r="O322" s="60" t="s">
        <v>200</v>
      </c>
      <c r="P322" s="60" t="s">
        <v>447</v>
      </c>
      <c r="Q322" s="746">
        <v>117000000</v>
      </c>
      <c r="R322" s="62" t="s">
        <v>211</v>
      </c>
      <c r="S322" s="72">
        <v>77400000</v>
      </c>
      <c r="T322" s="688" t="s">
        <v>106075</v>
      </c>
      <c r="U322" s="812">
        <v>117000000</v>
      </c>
      <c r="V322" s="804"/>
      <c r="W322" s="827">
        <f t="shared" si="6"/>
        <v>-117000000</v>
      </c>
    </row>
    <row r="323" spans="1:23" ht="45" x14ac:dyDescent="0.2">
      <c r="B323" s="321"/>
      <c r="C323" s="93"/>
      <c r="D323" s="93"/>
      <c r="E323" s="93"/>
      <c r="F323" s="93"/>
      <c r="G323" s="93"/>
      <c r="H323" s="93"/>
      <c r="I323" s="93"/>
      <c r="J323" s="344"/>
      <c r="K323" s="706" t="s">
        <v>223</v>
      </c>
      <c r="L323" s="58" t="s">
        <v>106079</v>
      </c>
      <c r="M323" s="59">
        <v>45061</v>
      </c>
      <c r="N323" s="60" t="s">
        <v>106176</v>
      </c>
      <c r="O323" s="60" t="s">
        <v>200</v>
      </c>
      <c r="P323" s="60" t="s">
        <v>277</v>
      </c>
      <c r="Q323" s="746">
        <f>1200000000-182652370</f>
        <v>1017347630</v>
      </c>
      <c r="R323" s="62" t="s">
        <v>211</v>
      </c>
      <c r="S323" s="72">
        <v>600000000</v>
      </c>
      <c r="T323" s="688" t="s">
        <v>106075</v>
      </c>
      <c r="U323" s="812">
        <f>1017347630+182652370</f>
        <v>1200000000</v>
      </c>
      <c r="V323" s="804"/>
      <c r="W323" s="827">
        <f t="shared" si="6"/>
        <v>-1017347630</v>
      </c>
    </row>
    <row r="324" spans="1:23" ht="30" x14ac:dyDescent="0.2">
      <c r="B324" s="321"/>
      <c r="C324" s="93"/>
      <c r="D324" s="93"/>
      <c r="E324" s="93"/>
      <c r="F324" s="93"/>
      <c r="G324" s="93"/>
      <c r="H324" s="93"/>
      <c r="I324" s="93"/>
      <c r="J324" s="344"/>
      <c r="K324" s="328">
        <v>81101500</v>
      </c>
      <c r="L324" s="58" t="s">
        <v>106080</v>
      </c>
      <c r="M324" s="59">
        <v>45061</v>
      </c>
      <c r="N324" s="60" t="s">
        <v>106176</v>
      </c>
      <c r="O324" s="60" t="s">
        <v>200</v>
      </c>
      <c r="P324" s="60" t="s">
        <v>447</v>
      </c>
      <c r="Q324" s="746">
        <v>108000000</v>
      </c>
      <c r="R324" s="62" t="s">
        <v>211</v>
      </c>
      <c r="S324" s="72">
        <v>54000000</v>
      </c>
      <c r="T324" s="688" t="s">
        <v>106075</v>
      </c>
      <c r="U324" s="812">
        <v>108000000</v>
      </c>
      <c r="V324" s="804"/>
      <c r="W324" s="827">
        <f t="shared" si="6"/>
        <v>-108000000</v>
      </c>
    </row>
    <row r="325" spans="1:23" ht="45" x14ac:dyDescent="0.2">
      <c r="B325" s="321"/>
      <c r="C325" s="93"/>
      <c r="D325" s="93"/>
      <c r="E325" s="93"/>
      <c r="F325" s="93"/>
      <c r="G325" s="93"/>
      <c r="H325" s="93"/>
      <c r="I325" s="93"/>
      <c r="J325" s="344"/>
      <c r="K325" s="706" t="s">
        <v>223</v>
      </c>
      <c r="L325" s="58" t="s">
        <v>106081</v>
      </c>
      <c r="M325" s="59">
        <v>45061</v>
      </c>
      <c r="N325" s="60" t="s">
        <v>106176</v>
      </c>
      <c r="O325" s="60" t="s">
        <v>200</v>
      </c>
      <c r="P325" s="60" t="s">
        <v>277</v>
      </c>
      <c r="Q325" s="746">
        <v>1500000000</v>
      </c>
      <c r="R325" s="62" t="s">
        <v>211</v>
      </c>
      <c r="S325" s="72">
        <v>1650000000</v>
      </c>
      <c r="T325" s="688" t="s">
        <v>106075</v>
      </c>
      <c r="U325" s="812">
        <v>1500000000</v>
      </c>
      <c r="V325" s="804"/>
      <c r="W325" s="827">
        <f t="shared" si="6"/>
        <v>-1500000000</v>
      </c>
    </row>
    <row r="326" spans="1:23" ht="30" x14ac:dyDescent="0.2">
      <c r="B326" s="321"/>
      <c r="C326" s="93"/>
      <c r="D326" s="93"/>
      <c r="E326" s="93"/>
      <c r="F326" s="93"/>
      <c r="G326" s="93"/>
      <c r="H326" s="93"/>
      <c r="I326" s="93"/>
      <c r="J326" s="344"/>
      <c r="K326" s="706">
        <v>81101500</v>
      </c>
      <c r="L326" s="58" t="s">
        <v>106082</v>
      </c>
      <c r="M326" s="59">
        <v>45061</v>
      </c>
      <c r="N326" s="60" t="s">
        <v>106176</v>
      </c>
      <c r="O326" s="60" t="s">
        <v>200</v>
      </c>
      <c r="P326" s="60" t="s">
        <v>447</v>
      </c>
      <c r="Q326" s="746">
        <v>135000000</v>
      </c>
      <c r="R326" s="62" t="s">
        <v>211</v>
      </c>
      <c r="S326" s="72">
        <v>148500000</v>
      </c>
      <c r="T326" s="688" t="s">
        <v>106075</v>
      </c>
      <c r="U326" s="812">
        <v>135000000</v>
      </c>
      <c r="V326" s="804"/>
      <c r="W326" s="827">
        <f t="shared" si="6"/>
        <v>-135000000</v>
      </c>
    </row>
    <row r="327" spans="1:23" ht="45" x14ac:dyDescent="0.2">
      <c r="B327" s="321"/>
      <c r="C327" s="93"/>
      <c r="D327" s="93"/>
      <c r="E327" s="93"/>
      <c r="F327" s="93"/>
      <c r="G327" s="93"/>
      <c r="H327" s="93"/>
      <c r="I327" s="93"/>
      <c r="J327" s="344"/>
      <c r="K327" s="706" t="s">
        <v>223</v>
      </c>
      <c r="L327" s="58" t="s">
        <v>106177</v>
      </c>
      <c r="M327" s="59">
        <v>45092</v>
      </c>
      <c r="N327" s="59" t="s">
        <v>106178</v>
      </c>
      <c r="O327" s="60" t="s">
        <v>200</v>
      </c>
      <c r="P327" s="60" t="s">
        <v>277</v>
      </c>
      <c r="Q327" s="746">
        <v>1300000000</v>
      </c>
      <c r="R327" s="62" t="s">
        <v>211</v>
      </c>
      <c r="S327" s="72">
        <v>1555616086.6666698</v>
      </c>
      <c r="T327" s="688" t="s">
        <v>106075</v>
      </c>
      <c r="U327" s="812">
        <v>1300000000</v>
      </c>
      <c r="V327" s="804"/>
      <c r="W327" s="827">
        <f t="shared" si="6"/>
        <v>-1300000000</v>
      </c>
    </row>
    <row r="328" spans="1:23" ht="30" x14ac:dyDescent="0.2">
      <c r="B328" s="321"/>
      <c r="C328" s="93"/>
      <c r="D328" s="93"/>
      <c r="E328" s="93"/>
      <c r="F328" s="93"/>
      <c r="G328" s="93"/>
      <c r="H328" s="93"/>
      <c r="I328" s="93"/>
      <c r="J328" s="344"/>
      <c r="K328" s="706">
        <v>81101500</v>
      </c>
      <c r="L328" s="58" t="s">
        <v>106179</v>
      </c>
      <c r="M328" s="59">
        <v>45092</v>
      </c>
      <c r="N328" s="59" t="s">
        <v>106178</v>
      </c>
      <c r="O328" s="60" t="s">
        <v>200</v>
      </c>
      <c r="P328" s="60" t="s">
        <v>447</v>
      </c>
      <c r="Q328" s="746">
        <v>117000000</v>
      </c>
      <c r="R328" s="62" t="s">
        <v>211</v>
      </c>
      <c r="S328" s="72">
        <v>140005447.80000028</v>
      </c>
      <c r="T328" s="688" t="s">
        <v>106075</v>
      </c>
      <c r="U328" s="812">
        <v>117000000</v>
      </c>
      <c r="V328" s="804"/>
      <c r="W328" s="827">
        <f t="shared" si="6"/>
        <v>-117000000</v>
      </c>
    </row>
    <row r="329" spans="1:23" ht="45" x14ac:dyDescent="0.2">
      <c r="B329" s="321"/>
      <c r="C329" s="93"/>
      <c r="D329" s="93"/>
      <c r="E329" s="93"/>
      <c r="F329" s="93"/>
      <c r="G329" s="93"/>
      <c r="H329" s="93"/>
      <c r="I329" s="93"/>
      <c r="J329" s="344"/>
      <c r="K329" s="706" t="s">
        <v>223</v>
      </c>
      <c r="L329" s="58" t="s">
        <v>106180</v>
      </c>
      <c r="M329" s="59">
        <v>45061</v>
      </c>
      <c r="N329" s="59" t="s">
        <v>106176</v>
      </c>
      <c r="O329" s="60" t="s">
        <v>198</v>
      </c>
      <c r="P329" s="60" t="s">
        <v>277</v>
      </c>
      <c r="Q329" s="746">
        <f>1362385321.10092-49738213+220000000+182652370</f>
        <v>1715299478.10092</v>
      </c>
      <c r="R329" s="62"/>
      <c r="S329" s="72"/>
      <c r="T329" s="688" t="s">
        <v>106075</v>
      </c>
      <c r="U329" s="812">
        <v>1715299478.0999999</v>
      </c>
      <c r="V329" s="804"/>
      <c r="W329" s="827">
        <f t="shared" si="6"/>
        <v>-1715299478.10092</v>
      </c>
    </row>
    <row r="330" spans="1:23" ht="30" x14ac:dyDescent="0.2">
      <c r="B330" s="321"/>
      <c r="C330" s="93"/>
      <c r="D330" s="93"/>
      <c r="E330" s="93"/>
      <c r="F330" s="93"/>
      <c r="G330" s="93"/>
      <c r="H330" s="93"/>
      <c r="I330" s="93"/>
      <c r="J330" s="344"/>
      <c r="K330" s="706">
        <v>81101500</v>
      </c>
      <c r="L330" s="58" t="s">
        <v>106181</v>
      </c>
      <c r="M330" s="59">
        <v>45061</v>
      </c>
      <c r="N330" s="59" t="s">
        <v>106176</v>
      </c>
      <c r="O330" s="60" t="s">
        <v>198</v>
      </c>
      <c r="P330" s="60" t="s">
        <v>447</v>
      </c>
      <c r="Q330" s="746">
        <v>122614678.89908256</v>
      </c>
      <c r="R330" s="62"/>
      <c r="S330" s="72"/>
      <c r="T330" s="688" t="s">
        <v>106075</v>
      </c>
      <c r="U330" s="812"/>
      <c r="V330" s="804"/>
      <c r="W330" s="827">
        <f t="shared" si="6"/>
        <v>-122614678.89908256</v>
      </c>
    </row>
    <row r="331" spans="1:23" ht="30" x14ac:dyDescent="0.2">
      <c r="B331" s="321"/>
      <c r="C331" s="93"/>
      <c r="D331" s="93"/>
      <c r="E331" s="93"/>
      <c r="F331" s="93"/>
      <c r="G331" s="93"/>
      <c r="H331" s="93"/>
      <c r="I331" s="93"/>
      <c r="J331" s="344"/>
      <c r="K331" s="706">
        <v>81101500</v>
      </c>
      <c r="L331" s="58" t="s">
        <v>106085</v>
      </c>
      <c r="M331" s="59">
        <v>44972</v>
      </c>
      <c r="N331" s="59" t="s">
        <v>275</v>
      </c>
      <c r="O331" s="60" t="s">
        <v>220</v>
      </c>
      <c r="P331" s="60" t="s">
        <v>447</v>
      </c>
      <c r="Q331" s="746">
        <f>103000000+640789</f>
        <v>103640789</v>
      </c>
      <c r="R331" s="62"/>
      <c r="S331" s="72"/>
      <c r="T331" s="688" t="s">
        <v>106075</v>
      </c>
      <c r="U331" s="812">
        <v>103640789</v>
      </c>
      <c r="V331" s="804">
        <v>103640789</v>
      </c>
      <c r="W331" s="827">
        <f t="shared" si="6"/>
        <v>0</v>
      </c>
    </row>
    <row r="332" spans="1:23" ht="30" x14ac:dyDescent="0.2">
      <c r="B332" s="321"/>
      <c r="C332" s="93"/>
      <c r="D332" s="93"/>
      <c r="E332" s="93"/>
      <c r="F332" s="93"/>
      <c r="G332" s="93"/>
      <c r="H332" s="93"/>
      <c r="I332" s="93"/>
      <c r="J332" s="344"/>
      <c r="K332" s="706" t="s">
        <v>231</v>
      </c>
      <c r="L332" s="58" t="s">
        <v>106086</v>
      </c>
      <c r="M332" s="59" t="s">
        <v>231</v>
      </c>
      <c r="N332" s="59" t="s">
        <v>231</v>
      </c>
      <c r="O332" s="60" t="s">
        <v>106088</v>
      </c>
      <c r="P332" s="60" t="s">
        <v>231</v>
      </c>
      <c r="Q332" s="746">
        <v>120000000</v>
      </c>
      <c r="R332" s="62"/>
      <c r="S332" s="72"/>
      <c r="T332" s="688" t="s">
        <v>106075</v>
      </c>
      <c r="U332" s="812">
        <v>21937685.140000001</v>
      </c>
      <c r="V332" s="804">
        <v>21937685.140000001</v>
      </c>
      <c r="W332" s="827">
        <f t="shared" si="6"/>
        <v>-98062314.859999999</v>
      </c>
    </row>
    <row r="333" spans="1:23" ht="30" x14ac:dyDescent="0.2">
      <c r="B333" s="321"/>
      <c r="C333" s="93"/>
      <c r="D333" s="93"/>
      <c r="E333" s="93"/>
      <c r="F333" s="93"/>
      <c r="G333" s="93"/>
      <c r="H333" s="93"/>
      <c r="I333" s="93"/>
      <c r="J333" s="344"/>
      <c r="K333" s="706"/>
      <c r="L333" s="58" t="s">
        <v>106182</v>
      </c>
      <c r="M333" s="59" t="s">
        <v>231</v>
      </c>
      <c r="N333" s="59" t="s">
        <v>231</v>
      </c>
      <c r="O333" s="60" t="s">
        <v>231</v>
      </c>
      <c r="P333" s="60" t="s">
        <v>106183</v>
      </c>
      <c r="Q333" s="746">
        <v>800000000</v>
      </c>
      <c r="R333" s="62"/>
      <c r="S333" s="72"/>
      <c r="T333" s="688" t="s">
        <v>106075</v>
      </c>
      <c r="U333" s="812"/>
      <c r="V333" s="804"/>
      <c r="W333" s="827">
        <f t="shared" si="6"/>
        <v>-800000000</v>
      </c>
    </row>
    <row r="334" spans="1:23" ht="30" x14ac:dyDescent="0.2">
      <c r="B334" s="321"/>
      <c r="C334" s="93"/>
      <c r="D334" s="93"/>
      <c r="E334" s="93"/>
      <c r="F334" s="93"/>
      <c r="G334" s="93"/>
      <c r="H334" s="93"/>
      <c r="I334" s="93"/>
      <c r="J334" s="344"/>
      <c r="K334" s="706" t="s">
        <v>106221</v>
      </c>
      <c r="L334" s="58" t="s">
        <v>409</v>
      </c>
      <c r="M334" s="59">
        <v>44941</v>
      </c>
      <c r="N334" s="59" t="s">
        <v>273</v>
      </c>
      <c r="O334" s="60" t="s">
        <v>106088</v>
      </c>
      <c r="P334" s="60" t="s">
        <v>451</v>
      </c>
      <c r="Q334" s="746">
        <f>300000000-640789-5211800-220000000</f>
        <v>74147411</v>
      </c>
      <c r="R334" s="62"/>
      <c r="S334" s="72"/>
      <c r="T334" s="688" t="s">
        <v>106075</v>
      </c>
      <c r="U334" s="812">
        <v>70019400</v>
      </c>
      <c r="V334" s="804">
        <v>56642447</v>
      </c>
      <c r="W334" s="827">
        <f t="shared" si="6"/>
        <v>-17504964</v>
      </c>
    </row>
    <row r="335" spans="1:23" ht="30" x14ac:dyDescent="0.2">
      <c r="B335" s="321"/>
      <c r="C335" s="93"/>
      <c r="D335" s="93"/>
      <c r="E335" s="93"/>
      <c r="F335" s="93"/>
      <c r="G335" s="93"/>
      <c r="H335" s="93"/>
      <c r="I335" s="93"/>
      <c r="J335" s="344"/>
      <c r="K335" s="706">
        <v>80101500</v>
      </c>
      <c r="L335" s="58" t="s">
        <v>106223</v>
      </c>
      <c r="M335" s="59">
        <v>45111</v>
      </c>
      <c r="N335" s="59" t="s">
        <v>367</v>
      </c>
      <c r="O335" s="60" t="s">
        <v>106224</v>
      </c>
      <c r="P335" s="60" t="s">
        <v>451</v>
      </c>
      <c r="Q335" s="746">
        <v>5211800</v>
      </c>
      <c r="R335" s="62"/>
      <c r="S335" s="72"/>
      <c r="T335" s="688" t="s">
        <v>106075</v>
      </c>
      <c r="U335" s="812">
        <v>5211800</v>
      </c>
      <c r="V335" s="804">
        <v>5211800</v>
      </c>
      <c r="W335" s="827">
        <f t="shared" si="6"/>
        <v>0</v>
      </c>
    </row>
    <row r="336" spans="1:23" ht="30" x14ac:dyDescent="0.2">
      <c r="B336" s="321"/>
      <c r="C336" s="93"/>
      <c r="D336" s="93"/>
      <c r="E336" s="93"/>
      <c r="F336" s="93"/>
      <c r="G336" s="93"/>
      <c r="H336" s="93"/>
      <c r="I336" s="93"/>
      <c r="J336" s="344"/>
      <c r="K336" s="706">
        <v>90121600</v>
      </c>
      <c r="L336" s="58" t="s">
        <v>281</v>
      </c>
      <c r="M336" s="59">
        <v>44947</v>
      </c>
      <c r="N336" s="59" t="s">
        <v>273</v>
      </c>
      <c r="O336" s="60" t="s">
        <v>213</v>
      </c>
      <c r="P336" s="60" t="s">
        <v>231</v>
      </c>
      <c r="Q336" s="746">
        <v>20000000</v>
      </c>
      <c r="R336" s="62"/>
      <c r="S336" s="72"/>
      <c r="T336" s="688" t="s">
        <v>106075</v>
      </c>
      <c r="U336" s="812">
        <v>20000000</v>
      </c>
      <c r="V336" s="804">
        <v>20000000</v>
      </c>
      <c r="W336" s="827">
        <f t="shared" si="6"/>
        <v>0</v>
      </c>
    </row>
    <row r="337" spans="2:23" ht="30" x14ac:dyDescent="0.2">
      <c r="B337" s="321"/>
      <c r="C337" s="93"/>
      <c r="D337" s="93"/>
      <c r="E337" s="93"/>
      <c r="F337" s="93"/>
      <c r="G337" s="93"/>
      <c r="H337" s="93"/>
      <c r="I337" s="93"/>
      <c r="J337" s="344"/>
      <c r="K337" s="706">
        <v>90111500</v>
      </c>
      <c r="L337" s="58" t="s">
        <v>225</v>
      </c>
      <c r="M337" s="59">
        <v>44947</v>
      </c>
      <c r="N337" s="59" t="s">
        <v>273</v>
      </c>
      <c r="O337" s="60" t="s">
        <v>213</v>
      </c>
      <c r="P337" s="60" t="s">
        <v>231</v>
      </c>
      <c r="Q337" s="746">
        <v>15000000</v>
      </c>
      <c r="R337" s="62"/>
      <c r="S337" s="72"/>
      <c r="T337" s="688" t="s">
        <v>106075</v>
      </c>
      <c r="U337" s="812">
        <v>7500000</v>
      </c>
      <c r="V337" s="804">
        <v>11403872</v>
      </c>
      <c r="W337" s="827">
        <f t="shared" si="6"/>
        <v>-3596128</v>
      </c>
    </row>
    <row r="338" spans="2:23" ht="30" x14ac:dyDescent="0.2">
      <c r="B338" s="321"/>
      <c r="C338" s="93"/>
      <c r="D338" s="93"/>
      <c r="E338" s="93"/>
      <c r="F338" s="93"/>
      <c r="G338" s="93"/>
      <c r="H338" s="93"/>
      <c r="I338" s="93"/>
      <c r="J338" s="344"/>
      <c r="K338" s="706">
        <v>90111500</v>
      </c>
      <c r="L338" s="58" t="s">
        <v>226</v>
      </c>
      <c r="M338" s="59">
        <v>44947</v>
      </c>
      <c r="N338" s="59" t="s">
        <v>273</v>
      </c>
      <c r="O338" s="60" t="s">
        <v>213</v>
      </c>
      <c r="P338" s="60" t="s">
        <v>231</v>
      </c>
      <c r="Q338" s="746">
        <v>15000000</v>
      </c>
      <c r="R338" s="62"/>
      <c r="S338" s="72"/>
      <c r="T338" s="688" t="s">
        <v>106075</v>
      </c>
      <c r="U338" s="812">
        <v>7500000</v>
      </c>
      <c r="V338" s="804"/>
      <c r="W338" s="827">
        <f t="shared" si="6"/>
        <v>-15000000</v>
      </c>
    </row>
    <row r="339" spans="2:23" ht="30" x14ac:dyDescent="0.2">
      <c r="B339" s="321"/>
      <c r="C339" s="93"/>
      <c r="D339" s="93"/>
      <c r="E339" s="93"/>
      <c r="F339" s="93"/>
      <c r="G339" s="93"/>
      <c r="H339" s="93"/>
      <c r="I339" s="93"/>
      <c r="J339" s="344"/>
      <c r="K339" s="706"/>
      <c r="L339" s="58" t="s">
        <v>106200</v>
      </c>
      <c r="M339" s="59"/>
      <c r="N339" s="59"/>
      <c r="O339" s="60"/>
      <c r="P339" s="60"/>
      <c r="Q339" s="746">
        <v>49738213</v>
      </c>
      <c r="R339" s="62"/>
      <c r="S339" s="72"/>
      <c r="T339" s="688" t="s">
        <v>106075</v>
      </c>
      <c r="U339" s="812">
        <v>49738213</v>
      </c>
      <c r="V339" s="804">
        <v>49738213</v>
      </c>
      <c r="W339" s="827">
        <f t="shared" si="6"/>
        <v>0</v>
      </c>
    </row>
    <row r="340" spans="2:23" ht="30" x14ac:dyDescent="0.2">
      <c r="B340" s="183" t="s">
        <v>132</v>
      </c>
      <c r="C340" s="183"/>
      <c r="D340" s="183">
        <v>1599</v>
      </c>
      <c r="E340" s="183"/>
      <c r="F340" s="183"/>
      <c r="G340" s="183"/>
      <c r="H340" s="183"/>
      <c r="I340" s="183"/>
      <c r="J340" s="183"/>
      <c r="K340" s="342"/>
      <c r="L340" s="248" t="s">
        <v>106196</v>
      </c>
      <c r="M340" s="185"/>
      <c r="N340" s="185"/>
      <c r="O340" s="186"/>
      <c r="P340" s="186"/>
      <c r="Q340" s="759">
        <f>+Q341</f>
        <v>2488000000</v>
      </c>
      <c r="R340" s="225"/>
      <c r="S340" s="225"/>
      <c r="T340" s="700"/>
      <c r="U340" s="814"/>
      <c r="V340" s="802"/>
      <c r="W340" s="826"/>
    </row>
    <row r="341" spans="2:23" ht="16.5" thickBot="1" x14ac:dyDescent="0.25">
      <c r="B341" s="189" t="s">
        <v>132</v>
      </c>
      <c r="C341" s="189"/>
      <c r="D341" s="189">
        <v>1599</v>
      </c>
      <c r="E341" s="189"/>
      <c r="F341" s="189" t="s">
        <v>134</v>
      </c>
      <c r="G341" s="189"/>
      <c r="H341" s="189"/>
      <c r="I341" s="189"/>
      <c r="J341" s="189"/>
      <c r="K341" s="343"/>
      <c r="L341" s="249" t="s">
        <v>137</v>
      </c>
      <c r="M341" s="191"/>
      <c r="N341" s="191"/>
      <c r="O341" s="192"/>
      <c r="P341" s="192"/>
      <c r="Q341" s="760">
        <f>+Q342</f>
        <v>2488000000</v>
      </c>
      <c r="R341" s="226"/>
      <c r="S341" s="226"/>
      <c r="T341" s="701"/>
      <c r="U341" s="817"/>
      <c r="V341" s="818"/>
      <c r="W341" s="828"/>
    </row>
    <row r="342" spans="2:23" ht="30" x14ac:dyDescent="0.2">
      <c r="B342" s="39" t="s">
        <v>132</v>
      </c>
      <c r="C342" s="39"/>
      <c r="D342" s="39">
        <v>1599</v>
      </c>
      <c r="E342" s="39"/>
      <c r="F342" s="39" t="s">
        <v>134</v>
      </c>
      <c r="G342" s="39"/>
      <c r="H342" s="39">
        <v>1</v>
      </c>
      <c r="I342" s="39"/>
      <c r="J342" s="39"/>
      <c r="K342" s="329"/>
      <c r="L342" s="233" t="s">
        <v>106193</v>
      </c>
      <c r="M342" s="41"/>
      <c r="N342" s="41"/>
      <c r="O342" s="42"/>
      <c r="P342" s="42"/>
      <c r="Q342" s="741">
        <f>+Q343</f>
        <v>2488000000</v>
      </c>
      <c r="R342" s="211"/>
      <c r="S342" s="211"/>
      <c r="T342" s="682"/>
      <c r="U342" s="808"/>
      <c r="V342" s="808"/>
      <c r="W342" s="829"/>
    </row>
    <row r="343" spans="2:23" ht="15.75" x14ac:dyDescent="0.2">
      <c r="B343" s="308" t="s">
        <v>7</v>
      </c>
      <c r="C343" s="308" t="s">
        <v>20</v>
      </c>
      <c r="D343" s="308"/>
      <c r="E343" s="308"/>
      <c r="F343" s="308"/>
      <c r="G343" s="308"/>
      <c r="H343" s="308"/>
      <c r="I343" s="308"/>
      <c r="J343" s="308"/>
      <c r="K343" s="326"/>
      <c r="L343" s="315" t="s">
        <v>244</v>
      </c>
      <c r="M343" s="195"/>
      <c r="N343" s="195"/>
      <c r="O343" s="196"/>
      <c r="P343" s="196"/>
      <c r="Q343" s="762">
        <f>SUM(Q344:Q345)</f>
        <v>2488000000</v>
      </c>
      <c r="R343" s="229"/>
      <c r="S343" s="229"/>
      <c r="T343" s="704"/>
      <c r="U343" s="800"/>
      <c r="V343" s="800"/>
      <c r="W343" s="830"/>
    </row>
    <row r="344" spans="2:23" ht="45" x14ac:dyDescent="0.2">
      <c r="B344" s="321"/>
      <c r="C344" s="93"/>
      <c r="D344" s="93"/>
      <c r="E344" s="93"/>
      <c r="F344" s="93"/>
      <c r="G344" s="93"/>
      <c r="H344" s="93"/>
      <c r="I344" s="93"/>
      <c r="J344" s="344"/>
      <c r="K344" s="706" t="s">
        <v>223</v>
      </c>
      <c r="L344" s="58" t="s">
        <v>106194</v>
      </c>
      <c r="M344" s="59">
        <v>45061</v>
      </c>
      <c r="N344" s="60" t="s">
        <v>473</v>
      </c>
      <c r="O344" s="60" t="s">
        <v>200</v>
      </c>
      <c r="P344" s="60" t="s">
        <v>483</v>
      </c>
      <c r="Q344" s="746">
        <v>2285770000</v>
      </c>
      <c r="R344" s="62" t="s">
        <v>211</v>
      </c>
      <c r="S344" s="72">
        <v>785770000</v>
      </c>
      <c r="T344" s="688" t="s">
        <v>106075</v>
      </c>
      <c r="U344" s="804"/>
      <c r="V344" s="804"/>
      <c r="W344" s="831">
        <f t="shared" si="6"/>
        <v>-2285770000</v>
      </c>
    </row>
    <row r="345" spans="2:23" ht="30" x14ac:dyDescent="0.2">
      <c r="B345" s="321"/>
      <c r="C345" s="93"/>
      <c r="D345" s="93"/>
      <c r="E345" s="93"/>
      <c r="F345" s="93"/>
      <c r="G345" s="93"/>
      <c r="H345" s="93"/>
      <c r="I345" s="93"/>
      <c r="J345" s="344"/>
      <c r="K345" s="706">
        <v>81101500</v>
      </c>
      <c r="L345" s="58" t="s">
        <v>106195</v>
      </c>
      <c r="M345" s="59">
        <v>45061</v>
      </c>
      <c r="N345" s="60" t="s">
        <v>473</v>
      </c>
      <c r="O345" s="60" t="s">
        <v>200</v>
      </c>
      <c r="P345" s="60" t="s">
        <v>447</v>
      </c>
      <c r="Q345" s="746">
        <v>202230000</v>
      </c>
      <c r="R345" s="791" t="s">
        <v>211</v>
      </c>
      <c r="S345" s="72">
        <v>67230000</v>
      </c>
      <c r="T345" s="688" t="s">
        <v>106075</v>
      </c>
      <c r="U345" s="804"/>
      <c r="V345" s="804"/>
      <c r="W345" s="831">
        <f t="shared" si="6"/>
        <v>-202230000</v>
      </c>
    </row>
    <row r="346" spans="2:23" x14ac:dyDescent="0.2">
      <c r="U346" s="798"/>
      <c r="V346" s="798"/>
    </row>
    <row r="347" spans="2:23" x14ac:dyDescent="0.2">
      <c r="U347" s="798"/>
      <c r="V347" s="798"/>
    </row>
    <row r="348" spans="2:23" x14ac:dyDescent="0.2">
      <c r="U348" s="798"/>
      <c r="V348" s="798"/>
    </row>
    <row r="349" spans="2:23" x14ac:dyDescent="0.2">
      <c r="U349" s="798"/>
      <c r="V349" s="798"/>
    </row>
    <row r="350" spans="2:23" x14ac:dyDescent="0.2">
      <c r="U350" s="798"/>
      <c r="V350" s="798"/>
    </row>
    <row r="351" spans="2:23" x14ac:dyDescent="0.2">
      <c r="U351" s="798"/>
      <c r="V351" s="798"/>
    </row>
    <row r="352" spans="2:23" x14ac:dyDescent="0.2">
      <c r="U352" s="798"/>
      <c r="V352" s="798"/>
    </row>
    <row r="353" spans="21:22" x14ac:dyDescent="0.2">
      <c r="U353" s="798"/>
      <c r="V353" s="798"/>
    </row>
    <row r="354" spans="21:22" x14ac:dyDescent="0.2">
      <c r="U354" s="798"/>
      <c r="V354" s="798"/>
    </row>
    <row r="355" spans="21:22" x14ac:dyDescent="0.2">
      <c r="U355" s="798"/>
      <c r="V355" s="798"/>
    </row>
    <row r="356" spans="21:22" x14ac:dyDescent="0.2">
      <c r="U356" s="798"/>
      <c r="V356" s="798"/>
    </row>
    <row r="357" spans="21:22" x14ac:dyDescent="0.2">
      <c r="U357" s="798"/>
      <c r="V357" s="798"/>
    </row>
    <row r="358" spans="21:22" x14ac:dyDescent="0.2">
      <c r="U358" s="798"/>
      <c r="V358" s="798"/>
    </row>
    <row r="359" spans="21:22" x14ac:dyDescent="0.2">
      <c r="U359" s="798"/>
      <c r="V359" s="798"/>
    </row>
    <row r="360" spans="21:22" x14ac:dyDescent="0.2">
      <c r="U360" s="798"/>
      <c r="V360" s="798"/>
    </row>
    <row r="361" spans="21:22" x14ac:dyDescent="0.2">
      <c r="U361" s="798"/>
      <c r="V361" s="798"/>
    </row>
    <row r="362" spans="21:22" x14ac:dyDescent="0.2">
      <c r="U362" s="798"/>
      <c r="V362" s="798"/>
    </row>
    <row r="363" spans="21:22" x14ac:dyDescent="0.2">
      <c r="U363" s="798"/>
      <c r="V363" s="798"/>
    </row>
    <row r="364" spans="21:22" x14ac:dyDescent="0.2">
      <c r="U364" s="798"/>
      <c r="V364" s="798"/>
    </row>
    <row r="365" spans="21:22" x14ac:dyDescent="0.2">
      <c r="U365" s="798"/>
      <c r="V365" s="798"/>
    </row>
    <row r="366" spans="21:22" x14ac:dyDescent="0.2">
      <c r="U366" s="798"/>
      <c r="V366" s="798"/>
    </row>
    <row r="367" spans="21:22" x14ac:dyDescent="0.2">
      <c r="U367" s="798"/>
      <c r="V367" s="798"/>
    </row>
    <row r="368" spans="21:22" x14ac:dyDescent="0.2">
      <c r="U368" s="798"/>
      <c r="V368" s="798"/>
    </row>
    <row r="369" spans="21:22" x14ac:dyDescent="0.2">
      <c r="U369" s="798"/>
      <c r="V369" s="798"/>
    </row>
    <row r="370" spans="21:22" x14ac:dyDescent="0.2">
      <c r="U370" s="798"/>
      <c r="V370" s="798"/>
    </row>
    <row r="371" spans="21:22" x14ac:dyDescent="0.2">
      <c r="U371" s="798"/>
      <c r="V371" s="798"/>
    </row>
    <row r="372" spans="21:22" x14ac:dyDescent="0.2">
      <c r="U372" s="798"/>
      <c r="V372" s="798"/>
    </row>
    <row r="373" spans="21:22" x14ac:dyDescent="0.2">
      <c r="U373" s="798"/>
      <c r="V373" s="798"/>
    </row>
    <row r="374" spans="21:22" x14ac:dyDescent="0.2">
      <c r="U374" s="798"/>
      <c r="V374" s="798"/>
    </row>
    <row r="375" spans="21:22" x14ac:dyDescent="0.2">
      <c r="U375" s="798"/>
      <c r="V375" s="798"/>
    </row>
    <row r="376" spans="21:22" x14ac:dyDescent="0.2">
      <c r="U376" s="798"/>
      <c r="V376" s="798"/>
    </row>
    <row r="377" spans="21:22" x14ac:dyDescent="0.2">
      <c r="U377" s="798"/>
      <c r="V377" s="798"/>
    </row>
    <row r="378" spans="21:22" x14ac:dyDescent="0.2">
      <c r="U378" s="798"/>
      <c r="V378" s="798"/>
    </row>
    <row r="379" spans="21:22" x14ac:dyDescent="0.2">
      <c r="U379" s="798"/>
      <c r="V379" s="798"/>
    </row>
    <row r="380" spans="21:22" x14ac:dyDescent="0.2">
      <c r="U380" s="798"/>
      <c r="V380" s="798"/>
    </row>
    <row r="381" spans="21:22" x14ac:dyDescent="0.2">
      <c r="U381" s="798"/>
      <c r="V381" s="798"/>
    </row>
    <row r="382" spans="21:22" x14ac:dyDescent="0.2">
      <c r="U382" s="798"/>
      <c r="V382" s="798"/>
    </row>
    <row r="383" spans="21:22" x14ac:dyDescent="0.2">
      <c r="U383" s="798"/>
      <c r="V383" s="798"/>
    </row>
    <row r="384" spans="21:22" x14ac:dyDescent="0.2">
      <c r="U384" s="798"/>
      <c r="V384" s="798"/>
    </row>
    <row r="385" spans="21:22" x14ac:dyDescent="0.2">
      <c r="U385" s="798"/>
      <c r="V385" s="798"/>
    </row>
    <row r="386" spans="21:22" x14ac:dyDescent="0.2">
      <c r="U386" s="798"/>
      <c r="V386" s="798"/>
    </row>
    <row r="387" spans="21:22" x14ac:dyDescent="0.2">
      <c r="U387" s="798"/>
      <c r="V387" s="798"/>
    </row>
    <row r="388" spans="21:22" x14ac:dyDescent="0.2">
      <c r="U388" s="798"/>
      <c r="V388" s="798"/>
    </row>
    <row r="389" spans="21:22" x14ac:dyDescent="0.2">
      <c r="U389" s="798"/>
      <c r="V389" s="798"/>
    </row>
    <row r="390" spans="21:22" x14ac:dyDescent="0.2">
      <c r="U390" s="798"/>
      <c r="V390" s="798"/>
    </row>
    <row r="391" spans="21:22" x14ac:dyDescent="0.2">
      <c r="U391" s="798"/>
      <c r="V391" s="798"/>
    </row>
    <row r="392" spans="21:22" x14ac:dyDescent="0.2">
      <c r="U392" s="798"/>
      <c r="V392" s="798"/>
    </row>
    <row r="393" spans="21:22" x14ac:dyDescent="0.2">
      <c r="U393" s="798"/>
      <c r="V393" s="798"/>
    </row>
    <row r="394" spans="21:22" x14ac:dyDescent="0.2">
      <c r="U394" s="798"/>
      <c r="V394" s="798"/>
    </row>
    <row r="395" spans="21:22" x14ac:dyDescent="0.2">
      <c r="U395" s="798"/>
      <c r="V395" s="798"/>
    </row>
    <row r="396" spans="21:22" x14ac:dyDescent="0.2">
      <c r="U396" s="798"/>
      <c r="V396" s="798"/>
    </row>
    <row r="397" spans="21:22" x14ac:dyDescent="0.2">
      <c r="U397" s="798"/>
      <c r="V397" s="798"/>
    </row>
    <row r="398" spans="21:22" x14ac:dyDescent="0.2">
      <c r="U398" s="798"/>
      <c r="V398" s="798"/>
    </row>
    <row r="399" spans="21:22" x14ac:dyDescent="0.2">
      <c r="U399" s="798"/>
      <c r="V399" s="798"/>
    </row>
    <row r="400" spans="21:22" x14ac:dyDescent="0.2">
      <c r="U400" s="798"/>
      <c r="V400" s="798"/>
    </row>
    <row r="401" spans="21:22" x14ac:dyDescent="0.2">
      <c r="U401" s="798"/>
      <c r="V401" s="798"/>
    </row>
    <row r="402" spans="21:22" x14ac:dyDescent="0.2">
      <c r="U402" s="798"/>
      <c r="V402" s="798"/>
    </row>
    <row r="403" spans="21:22" x14ac:dyDescent="0.2">
      <c r="U403" s="798"/>
      <c r="V403" s="798"/>
    </row>
    <row r="404" spans="21:22" x14ac:dyDescent="0.2">
      <c r="U404" s="798"/>
      <c r="V404" s="798"/>
    </row>
    <row r="405" spans="21:22" x14ac:dyDescent="0.2">
      <c r="U405" s="798"/>
      <c r="V405" s="798"/>
    </row>
    <row r="406" spans="21:22" x14ac:dyDescent="0.2">
      <c r="U406" s="798"/>
      <c r="V406" s="798"/>
    </row>
    <row r="407" spans="21:22" x14ac:dyDescent="0.2">
      <c r="U407" s="798"/>
      <c r="V407" s="798"/>
    </row>
    <row r="408" spans="21:22" x14ac:dyDescent="0.2">
      <c r="U408" s="798"/>
      <c r="V408" s="798"/>
    </row>
    <row r="409" spans="21:22" x14ac:dyDescent="0.2">
      <c r="U409" s="798"/>
      <c r="V409" s="798"/>
    </row>
    <row r="410" spans="21:22" x14ac:dyDescent="0.2">
      <c r="U410" s="798"/>
      <c r="V410" s="798"/>
    </row>
    <row r="411" spans="21:22" x14ac:dyDescent="0.2">
      <c r="U411" s="798"/>
      <c r="V411" s="798"/>
    </row>
    <row r="412" spans="21:22" x14ac:dyDescent="0.2">
      <c r="U412" s="798"/>
      <c r="V412" s="798"/>
    </row>
    <row r="413" spans="21:22" x14ac:dyDescent="0.2">
      <c r="U413" s="798"/>
      <c r="V413" s="798"/>
    </row>
    <row r="414" spans="21:22" x14ac:dyDescent="0.2">
      <c r="U414" s="798"/>
      <c r="V414" s="798"/>
    </row>
    <row r="415" spans="21:22" x14ac:dyDescent="0.2">
      <c r="U415" s="798"/>
      <c r="V415" s="798"/>
    </row>
    <row r="416" spans="21:22" x14ac:dyDescent="0.2">
      <c r="U416" s="798"/>
      <c r="V416" s="798"/>
    </row>
    <row r="417" spans="21:22" x14ac:dyDescent="0.2">
      <c r="U417" s="798"/>
      <c r="V417" s="798"/>
    </row>
    <row r="418" spans="21:22" x14ac:dyDescent="0.2">
      <c r="U418" s="798"/>
      <c r="V418" s="798"/>
    </row>
    <row r="419" spans="21:22" x14ac:dyDescent="0.2">
      <c r="U419" s="798"/>
      <c r="V419" s="798"/>
    </row>
    <row r="420" spans="21:22" x14ac:dyDescent="0.2">
      <c r="U420" s="798"/>
      <c r="V420" s="798"/>
    </row>
    <row r="421" spans="21:22" x14ac:dyDescent="0.2">
      <c r="U421" s="798"/>
      <c r="V421" s="798"/>
    </row>
    <row r="422" spans="21:22" x14ac:dyDescent="0.2">
      <c r="U422" s="798"/>
      <c r="V422" s="798"/>
    </row>
    <row r="423" spans="21:22" x14ac:dyDescent="0.2">
      <c r="U423" s="798"/>
      <c r="V423" s="798"/>
    </row>
    <row r="424" spans="21:22" x14ac:dyDescent="0.2">
      <c r="U424" s="798"/>
      <c r="V424" s="798"/>
    </row>
    <row r="425" spans="21:22" x14ac:dyDescent="0.2">
      <c r="U425" s="798"/>
      <c r="V425" s="798"/>
    </row>
    <row r="426" spans="21:22" x14ac:dyDescent="0.2">
      <c r="U426" s="798"/>
      <c r="V426" s="798"/>
    </row>
    <row r="427" spans="21:22" x14ac:dyDescent="0.2">
      <c r="U427" s="798"/>
      <c r="V427" s="798"/>
    </row>
    <row r="428" spans="21:22" x14ac:dyDescent="0.2">
      <c r="U428" s="798"/>
      <c r="V428" s="798"/>
    </row>
    <row r="429" spans="21:22" x14ac:dyDescent="0.2">
      <c r="U429" s="798"/>
      <c r="V429" s="798"/>
    </row>
    <row r="430" spans="21:22" x14ac:dyDescent="0.2">
      <c r="U430" s="798"/>
      <c r="V430" s="798"/>
    </row>
    <row r="431" spans="21:22" x14ac:dyDescent="0.2">
      <c r="U431" s="798"/>
      <c r="V431" s="798"/>
    </row>
    <row r="432" spans="21:22" x14ac:dyDescent="0.2">
      <c r="U432" s="798"/>
      <c r="V432" s="798"/>
    </row>
    <row r="433" spans="21:22" x14ac:dyDescent="0.2">
      <c r="U433" s="798"/>
      <c r="V433" s="798"/>
    </row>
    <row r="434" spans="21:22" x14ac:dyDescent="0.2">
      <c r="U434" s="798"/>
      <c r="V434" s="798"/>
    </row>
    <row r="435" spans="21:22" x14ac:dyDescent="0.2">
      <c r="U435" s="798"/>
      <c r="V435" s="798"/>
    </row>
    <row r="436" spans="21:22" x14ac:dyDescent="0.2">
      <c r="U436" s="798"/>
      <c r="V436" s="798"/>
    </row>
    <row r="437" spans="21:22" x14ac:dyDescent="0.2">
      <c r="U437" s="798"/>
      <c r="V437" s="798"/>
    </row>
    <row r="438" spans="21:22" x14ac:dyDescent="0.2">
      <c r="U438" s="798"/>
      <c r="V438" s="798"/>
    </row>
    <row r="439" spans="21:22" x14ac:dyDescent="0.2">
      <c r="U439" s="798"/>
      <c r="V439" s="798"/>
    </row>
    <row r="440" spans="21:22" x14ac:dyDescent="0.2">
      <c r="U440" s="798"/>
      <c r="V440" s="798"/>
    </row>
    <row r="441" spans="21:22" x14ac:dyDescent="0.2">
      <c r="U441" s="798"/>
      <c r="V441" s="798"/>
    </row>
    <row r="442" spans="21:22" x14ac:dyDescent="0.2">
      <c r="U442" s="798"/>
      <c r="V442" s="798"/>
    </row>
    <row r="443" spans="21:22" x14ac:dyDescent="0.2">
      <c r="U443" s="798"/>
      <c r="V443" s="798"/>
    </row>
    <row r="444" spans="21:22" x14ac:dyDescent="0.2">
      <c r="U444" s="798"/>
      <c r="V444" s="798"/>
    </row>
    <row r="445" spans="21:22" x14ac:dyDescent="0.2">
      <c r="U445" s="798"/>
      <c r="V445" s="798"/>
    </row>
    <row r="446" spans="21:22" x14ac:dyDescent="0.2">
      <c r="U446" s="798"/>
      <c r="V446" s="798"/>
    </row>
    <row r="447" spans="21:22" x14ac:dyDescent="0.2">
      <c r="U447" s="798"/>
      <c r="V447" s="798"/>
    </row>
    <row r="448" spans="21:22" x14ac:dyDescent="0.2">
      <c r="U448" s="798"/>
      <c r="V448" s="798"/>
    </row>
    <row r="449" spans="21:22" x14ac:dyDescent="0.2">
      <c r="U449" s="798"/>
      <c r="V449" s="798"/>
    </row>
    <row r="450" spans="21:22" x14ac:dyDescent="0.2">
      <c r="U450" s="798"/>
      <c r="V450" s="798"/>
    </row>
    <row r="451" spans="21:22" x14ac:dyDescent="0.2">
      <c r="U451" s="798"/>
      <c r="V451" s="798"/>
    </row>
    <row r="452" spans="21:22" x14ac:dyDescent="0.2">
      <c r="U452" s="798"/>
      <c r="V452" s="798"/>
    </row>
    <row r="453" spans="21:22" x14ac:dyDescent="0.2">
      <c r="U453" s="798"/>
      <c r="V453" s="798"/>
    </row>
    <row r="454" spans="21:22" x14ac:dyDescent="0.2">
      <c r="U454" s="798"/>
      <c r="V454" s="798"/>
    </row>
    <row r="455" spans="21:22" x14ac:dyDescent="0.2">
      <c r="U455" s="798"/>
      <c r="V455" s="798"/>
    </row>
    <row r="456" spans="21:22" x14ac:dyDescent="0.2">
      <c r="U456" s="798"/>
      <c r="V456" s="798"/>
    </row>
    <row r="457" spans="21:22" x14ac:dyDescent="0.2">
      <c r="U457" s="798"/>
      <c r="V457" s="798"/>
    </row>
    <row r="458" spans="21:22" x14ac:dyDescent="0.2">
      <c r="U458" s="798"/>
      <c r="V458" s="798"/>
    </row>
    <row r="459" spans="21:22" x14ac:dyDescent="0.2">
      <c r="U459" s="798"/>
      <c r="V459" s="798"/>
    </row>
    <row r="460" spans="21:22" x14ac:dyDescent="0.2">
      <c r="U460" s="798"/>
      <c r="V460" s="798"/>
    </row>
    <row r="461" spans="21:22" x14ac:dyDescent="0.2">
      <c r="U461" s="798"/>
      <c r="V461" s="798"/>
    </row>
    <row r="462" spans="21:22" x14ac:dyDescent="0.2">
      <c r="U462" s="798"/>
      <c r="V462" s="798"/>
    </row>
    <row r="463" spans="21:22" x14ac:dyDescent="0.2">
      <c r="U463" s="798"/>
      <c r="V463" s="798"/>
    </row>
    <row r="464" spans="21:22" x14ac:dyDescent="0.2">
      <c r="U464" s="798"/>
      <c r="V464" s="798"/>
    </row>
    <row r="465" spans="21:22" x14ac:dyDescent="0.2">
      <c r="U465" s="798"/>
      <c r="V465" s="798"/>
    </row>
    <row r="466" spans="21:22" x14ac:dyDescent="0.2">
      <c r="U466" s="798"/>
      <c r="V466" s="798"/>
    </row>
    <row r="467" spans="21:22" x14ac:dyDescent="0.2">
      <c r="U467" s="798"/>
      <c r="V467" s="798"/>
    </row>
    <row r="468" spans="21:22" x14ac:dyDescent="0.2">
      <c r="U468" s="798"/>
      <c r="V468" s="798"/>
    </row>
    <row r="469" spans="21:22" x14ac:dyDescent="0.2">
      <c r="U469" s="798"/>
      <c r="V469" s="798"/>
    </row>
    <row r="470" spans="21:22" x14ac:dyDescent="0.2">
      <c r="U470" s="798"/>
      <c r="V470" s="798"/>
    </row>
    <row r="471" spans="21:22" x14ac:dyDescent="0.2">
      <c r="U471" s="798"/>
      <c r="V471" s="798"/>
    </row>
    <row r="472" spans="21:22" x14ac:dyDescent="0.2">
      <c r="U472" s="798"/>
      <c r="V472" s="798"/>
    </row>
    <row r="473" spans="21:22" x14ac:dyDescent="0.2">
      <c r="U473" s="798"/>
      <c r="V473" s="798"/>
    </row>
    <row r="474" spans="21:22" x14ac:dyDescent="0.2">
      <c r="U474" s="798"/>
      <c r="V474" s="798"/>
    </row>
    <row r="475" spans="21:22" x14ac:dyDescent="0.2">
      <c r="U475" s="798"/>
      <c r="V475" s="798"/>
    </row>
    <row r="476" spans="21:22" x14ac:dyDescent="0.2">
      <c r="U476" s="798"/>
      <c r="V476" s="798"/>
    </row>
    <row r="477" spans="21:22" x14ac:dyDescent="0.2">
      <c r="U477" s="798"/>
      <c r="V477" s="798"/>
    </row>
    <row r="478" spans="21:22" x14ac:dyDescent="0.2">
      <c r="U478" s="798"/>
      <c r="V478" s="798"/>
    </row>
    <row r="479" spans="21:22" x14ac:dyDescent="0.2">
      <c r="U479" s="798"/>
      <c r="V479" s="798"/>
    </row>
    <row r="480" spans="21:22" x14ac:dyDescent="0.2">
      <c r="U480" s="798"/>
      <c r="V480" s="798"/>
    </row>
    <row r="481" spans="21:22" x14ac:dyDescent="0.2">
      <c r="U481" s="798"/>
      <c r="V481" s="798"/>
    </row>
    <row r="482" spans="21:22" x14ac:dyDescent="0.2">
      <c r="U482" s="798"/>
      <c r="V482" s="798"/>
    </row>
    <row r="483" spans="21:22" x14ac:dyDescent="0.2">
      <c r="U483" s="798"/>
      <c r="V483" s="798"/>
    </row>
    <row r="484" spans="21:22" x14ac:dyDescent="0.2">
      <c r="U484" s="798"/>
      <c r="V484" s="798"/>
    </row>
    <row r="485" spans="21:22" x14ac:dyDescent="0.2">
      <c r="U485" s="798"/>
      <c r="V485" s="798"/>
    </row>
    <row r="486" spans="21:22" x14ac:dyDescent="0.2">
      <c r="U486" s="798"/>
      <c r="V486" s="798"/>
    </row>
    <row r="487" spans="21:22" x14ac:dyDescent="0.2">
      <c r="U487" s="798"/>
      <c r="V487" s="798"/>
    </row>
    <row r="488" spans="21:22" x14ac:dyDescent="0.2">
      <c r="U488" s="798"/>
      <c r="V488" s="798"/>
    </row>
    <row r="489" spans="21:22" x14ac:dyDescent="0.2">
      <c r="U489" s="798"/>
      <c r="V489" s="798"/>
    </row>
    <row r="490" spans="21:22" x14ac:dyDescent="0.2">
      <c r="U490" s="798"/>
      <c r="V490" s="798"/>
    </row>
    <row r="491" spans="21:22" x14ac:dyDescent="0.2">
      <c r="U491" s="798"/>
      <c r="V491" s="798"/>
    </row>
    <row r="492" spans="21:22" x14ac:dyDescent="0.2">
      <c r="U492" s="798"/>
      <c r="V492" s="798"/>
    </row>
    <row r="493" spans="21:22" x14ac:dyDescent="0.2">
      <c r="U493" s="798"/>
      <c r="V493" s="798"/>
    </row>
    <row r="494" spans="21:22" x14ac:dyDescent="0.2">
      <c r="U494" s="798"/>
      <c r="V494" s="798"/>
    </row>
    <row r="495" spans="21:22" x14ac:dyDescent="0.2">
      <c r="U495" s="798"/>
      <c r="V495" s="798"/>
    </row>
    <row r="496" spans="21:22" x14ac:dyDescent="0.2">
      <c r="U496" s="798"/>
      <c r="V496" s="798"/>
    </row>
    <row r="497" spans="21:22" x14ac:dyDescent="0.2">
      <c r="U497" s="798"/>
      <c r="V497" s="798"/>
    </row>
    <row r="498" spans="21:22" x14ac:dyDescent="0.2">
      <c r="U498" s="798"/>
      <c r="V498" s="798"/>
    </row>
    <row r="499" spans="21:22" x14ac:dyDescent="0.2">
      <c r="U499" s="798"/>
      <c r="V499" s="798"/>
    </row>
    <row r="500" spans="21:22" x14ac:dyDescent="0.2">
      <c r="U500" s="798"/>
      <c r="V500" s="798"/>
    </row>
    <row r="501" spans="21:22" x14ac:dyDescent="0.2">
      <c r="U501" s="798"/>
      <c r="V501" s="798"/>
    </row>
    <row r="502" spans="21:22" x14ac:dyDescent="0.2">
      <c r="U502" s="798"/>
      <c r="V502" s="798"/>
    </row>
    <row r="503" spans="21:22" x14ac:dyDescent="0.2">
      <c r="U503" s="798"/>
      <c r="V503" s="798"/>
    </row>
    <row r="504" spans="21:22" x14ac:dyDescent="0.2">
      <c r="U504" s="798"/>
      <c r="V504" s="798"/>
    </row>
    <row r="505" spans="21:22" x14ac:dyDescent="0.2">
      <c r="U505" s="798"/>
      <c r="V505" s="798"/>
    </row>
    <row r="506" spans="21:22" x14ac:dyDescent="0.2">
      <c r="U506" s="798"/>
      <c r="V506" s="798"/>
    </row>
    <row r="507" spans="21:22" x14ac:dyDescent="0.2">
      <c r="U507" s="798"/>
      <c r="V507" s="798"/>
    </row>
    <row r="508" spans="21:22" x14ac:dyDescent="0.2">
      <c r="U508" s="798"/>
      <c r="V508" s="798"/>
    </row>
    <row r="509" spans="21:22" x14ac:dyDescent="0.2">
      <c r="U509" s="798"/>
      <c r="V509" s="798"/>
    </row>
    <row r="510" spans="21:22" x14ac:dyDescent="0.2">
      <c r="U510" s="798"/>
      <c r="V510" s="798"/>
    </row>
    <row r="511" spans="21:22" x14ac:dyDescent="0.2">
      <c r="U511" s="798"/>
      <c r="V511" s="798"/>
    </row>
    <row r="512" spans="21:22" x14ac:dyDescent="0.2">
      <c r="U512" s="798"/>
      <c r="V512" s="798"/>
    </row>
    <row r="513" spans="21:22" x14ac:dyDescent="0.2">
      <c r="U513" s="798"/>
      <c r="V513" s="798"/>
    </row>
    <row r="514" spans="21:22" x14ac:dyDescent="0.2">
      <c r="U514" s="798"/>
      <c r="V514" s="798"/>
    </row>
    <row r="515" spans="21:22" x14ac:dyDescent="0.2">
      <c r="U515" s="798"/>
      <c r="V515" s="798"/>
    </row>
    <row r="516" spans="21:22" x14ac:dyDescent="0.2">
      <c r="U516" s="798"/>
      <c r="V516" s="798"/>
    </row>
    <row r="517" spans="21:22" x14ac:dyDescent="0.2">
      <c r="U517" s="798"/>
      <c r="V517" s="798"/>
    </row>
    <row r="518" spans="21:22" x14ac:dyDescent="0.2">
      <c r="U518" s="798"/>
      <c r="V518" s="798"/>
    </row>
    <row r="519" spans="21:22" x14ac:dyDescent="0.2">
      <c r="U519" s="798"/>
      <c r="V519" s="798"/>
    </row>
    <row r="520" spans="21:22" x14ac:dyDescent="0.2">
      <c r="U520" s="798"/>
      <c r="V520" s="798"/>
    </row>
    <row r="521" spans="21:22" x14ac:dyDescent="0.2">
      <c r="U521" s="798"/>
      <c r="V521" s="798"/>
    </row>
    <row r="522" spans="21:22" x14ac:dyDescent="0.2">
      <c r="U522" s="798"/>
      <c r="V522" s="798"/>
    </row>
    <row r="523" spans="21:22" x14ac:dyDescent="0.2">
      <c r="U523" s="798"/>
      <c r="V523" s="798"/>
    </row>
    <row r="524" spans="21:22" x14ac:dyDescent="0.2">
      <c r="U524" s="798"/>
      <c r="V524" s="798"/>
    </row>
    <row r="525" spans="21:22" x14ac:dyDescent="0.2">
      <c r="U525" s="798"/>
      <c r="V525" s="798"/>
    </row>
    <row r="526" spans="21:22" x14ac:dyDescent="0.2">
      <c r="U526" s="798"/>
      <c r="V526" s="798"/>
    </row>
    <row r="527" spans="21:22" x14ac:dyDescent="0.2">
      <c r="U527" s="798"/>
      <c r="V527" s="798"/>
    </row>
    <row r="528" spans="21:22" x14ac:dyDescent="0.2">
      <c r="U528" s="798"/>
      <c r="V528" s="798"/>
    </row>
    <row r="529" spans="21:22" x14ac:dyDescent="0.2">
      <c r="U529" s="798"/>
      <c r="V529" s="798"/>
    </row>
    <row r="530" spans="21:22" x14ac:dyDescent="0.2">
      <c r="U530" s="798"/>
      <c r="V530" s="798"/>
    </row>
    <row r="531" spans="21:22" x14ac:dyDescent="0.2">
      <c r="U531" s="798"/>
      <c r="V531" s="798"/>
    </row>
    <row r="532" spans="21:22" x14ac:dyDescent="0.2">
      <c r="U532" s="798"/>
      <c r="V532" s="798"/>
    </row>
    <row r="533" spans="21:22" x14ac:dyDescent="0.2">
      <c r="U533" s="798"/>
      <c r="V533" s="798"/>
    </row>
    <row r="534" spans="21:22" x14ac:dyDescent="0.2">
      <c r="U534" s="798"/>
      <c r="V534" s="798"/>
    </row>
  </sheetData>
  <sheetProtection formatCells="0" formatColumns="0" formatRows="0" insertColumns="0" insertRows="0" insertHyperlinks="0" deleteColumns="0" deleteRows="0" sort="0" autoFilter="0" pivotTables="0"/>
  <autoFilter ref="B6:W345"/>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T319:T345 T157:T195 T244:T303 T199:T239 T13:T55 T57:T142 T144:T152</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T304:T318</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T153:T156 T196:T198 T240:T243 T56</xm:sqref>
        </x14:dataValidation>
        <x14:dataValidation type="list" allowBlank="1" showInputMessage="1" showErrorMessage="1" errorTitle="ERROR" error="ERROR">
          <x14:formula1>
            <xm:f>Hoja1!$G$3:$G$24</xm:f>
          </x14:formula1>
          <xm:sqref>T143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topLeftCell="C1" zoomScale="160" zoomScaleNormal="160" workbookViewId="0">
      <selection activeCell="I16" sqref="I16"/>
    </sheetView>
  </sheetViews>
  <sheetFormatPr baseColWidth="10" defaultRowHeight="15" x14ac:dyDescent="0.25"/>
  <cols>
    <col min="1" max="1" width="2.140625" customWidth="1"/>
    <col min="2" max="2" width="26.85546875" customWidth="1"/>
    <col min="3" max="3" width="13.42578125" style="716" bestFit="1" customWidth="1"/>
    <col min="4" max="9" width="11.5703125" bestFit="1" customWidth="1"/>
    <col min="10" max="12" width="15.5703125" bestFit="1" customWidth="1"/>
  </cols>
  <sheetData>
    <row r="4" spans="2:12" x14ac:dyDescent="0.25">
      <c r="B4" s="720"/>
      <c r="C4" s="721">
        <v>2022</v>
      </c>
      <c r="D4" s="722" t="s">
        <v>106188</v>
      </c>
      <c r="E4" s="722" t="s">
        <v>106185</v>
      </c>
      <c r="F4" s="722" t="s">
        <v>106162</v>
      </c>
      <c r="G4" s="722" t="s">
        <v>106188</v>
      </c>
      <c r="H4" s="722" t="s">
        <v>106185</v>
      </c>
      <c r="I4" s="722" t="s">
        <v>106162</v>
      </c>
      <c r="J4" s="789">
        <v>0.16</v>
      </c>
      <c r="K4" s="789">
        <v>0.15</v>
      </c>
      <c r="L4" s="789">
        <v>0.13</v>
      </c>
    </row>
    <row r="5" spans="2:12" x14ac:dyDescent="0.25">
      <c r="B5" s="719" t="s">
        <v>106158</v>
      </c>
      <c r="C5" s="723">
        <v>5900000</v>
      </c>
      <c r="D5" s="717">
        <f>+C5*13%</f>
        <v>767000</v>
      </c>
      <c r="E5" s="717">
        <f t="shared" ref="E5:E14" si="0">+C5*15%</f>
        <v>885000</v>
      </c>
      <c r="F5" s="717">
        <f>+C5*16%</f>
        <v>944000</v>
      </c>
      <c r="G5" s="718">
        <f>+C5+D5</f>
        <v>6667000</v>
      </c>
      <c r="H5" s="787">
        <f t="shared" ref="H5:H14" si="1">+C5+E5</f>
        <v>6785000</v>
      </c>
      <c r="I5" s="724">
        <f>+C5+F5</f>
        <v>6844000</v>
      </c>
      <c r="J5" s="787">
        <f t="shared" ref="J5:J14" si="2">+I5*11</f>
        <v>75284000</v>
      </c>
      <c r="K5" s="716">
        <f t="shared" ref="K5:K14" si="3">+H5*11</f>
        <v>74635000</v>
      </c>
      <c r="L5" s="716">
        <f t="shared" ref="L5:L14" si="4">+G5*11</f>
        <v>73337000</v>
      </c>
    </row>
    <row r="6" spans="2:12" x14ac:dyDescent="0.25">
      <c r="B6" s="719" t="s">
        <v>106159</v>
      </c>
      <c r="C6" s="723">
        <v>4600000</v>
      </c>
      <c r="D6" s="717">
        <f t="shared" ref="D6:D14" si="5">+C6*13%</f>
        <v>598000</v>
      </c>
      <c r="E6" s="717">
        <f t="shared" si="0"/>
        <v>690000</v>
      </c>
      <c r="F6" s="717">
        <f t="shared" ref="F6:F14" si="6">+C6*16%</f>
        <v>736000</v>
      </c>
      <c r="G6" s="718">
        <f t="shared" ref="G6:G14" si="7">+C6+D6</f>
        <v>5198000</v>
      </c>
      <c r="H6" s="787">
        <f t="shared" si="1"/>
        <v>5290000</v>
      </c>
      <c r="I6" s="724">
        <f t="shared" ref="I6:I13" si="8">+C6+F6</f>
        <v>5336000</v>
      </c>
      <c r="J6" s="787">
        <f t="shared" si="2"/>
        <v>58696000</v>
      </c>
      <c r="K6" s="716">
        <f t="shared" si="3"/>
        <v>58190000</v>
      </c>
      <c r="L6" s="716">
        <f t="shared" si="4"/>
        <v>57178000</v>
      </c>
    </row>
    <row r="7" spans="2:12" x14ac:dyDescent="0.25">
      <c r="B7" s="719" t="s">
        <v>106157</v>
      </c>
      <c r="C7" s="723">
        <v>3300000</v>
      </c>
      <c r="D7" s="717">
        <f t="shared" si="5"/>
        <v>429000</v>
      </c>
      <c r="E7" s="717">
        <f t="shared" si="0"/>
        <v>495000</v>
      </c>
      <c r="F7" s="717">
        <f t="shared" si="6"/>
        <v>528000</v>
      </c>
      <c r="G7" s="718">
        <f t="shared" si="7"/>
        <v>3729000</v>
      </c>
      <c r="H7" s="787">
        <f t="shared" si="1"/>
        <v>3795000</v>
      </c>
      <c r="I7" s="724">
        <f t="shared" si="8"/>
        <v>3828000</v>
      </c>
      <c r="J7" s="787">
        <f t="shared" si="2"/>
        <v>42108000</v>
      </c>
      <c r="K7" s="716">
        <f t="shared" si="3"/>
        <v>41745000</v>
      </c>
      <c r="L7" s="716">
        <f t="shared" si="4"/>
        <v>41019000</v>
      </c>
    </row>
    <row r="8" spans="2:12" x14ac:dyDescent="0.25">
      <c r="B8" s="719" t="s">
        <v>106160</v>
      </c>
      <c r="C8" s="723">
        <v>2600000</v>
      </c>
      <c r="D8" s="717">
        <f t="shared" si="5"/>
        <v>338000</v>
      </c>
      <c r="E8" s="717">
        <f t="shared" si="0"/>
        <v>390000</v>
      </c>
      <c r="F8" s="717">
        <f t="shared" si="6"/>
        <v>416000</v>
      </c>
      <c r="G8" s="718">
        <f t="shared" si="7"/>
        <v>2938000</v>
      </c>
      <c r="H8" s="787">
        <f t="shared" si="1"/>
        <v>2990000</v>
      </c>
      <c r="I8" s="724">
        <f t="shared" si="8"/>
        <v>3016000</v>
      </c>
      <c r="J8" s="787">
        <f t="shared" si="2"/>
        <v>33176000</v>
      </c>
      <c r="K8" s="716">
        <f t="shared" si="3"/>
        <v>32890000</v>
      </c>
      <c r="L8" s="716">
        <f t="shared" si="4"/>
        <v>32318000</v>
      </c>
    </row>
    <row r="9" spans="2:12" x14ac:dyDescent="0.25">
      <c r="B9" s="719" t="s">
        <v>106163</v>
      </c>
      <c r="C9" s="723">
        <v>2100000</v>
      </c>
      <c r="D9" s="717">
        <f t="shared" si="5"/>
        <v>273000</v>
      </c>
      <c r="E9" s="717">
        <f t="shared" si="0"/>
        <v>315000</v>
      </c>
      <c r="F9" s="717">
        <f t="shared" si="6"/>
        <v>336000</v>
      </c>
      <c r="G9" s="718">
        <f t="shared" si="7"/>
        <v>2373000</v>
      </c>
      <c r="H9" s="787">
        <f t="shared" si="1"/>
        <v>2415000</v>
      </c>
      <c r="I9" s="724">
        <f t="shared" si="8"/>
        <v>2436000</v>
      </c>
      <c r="J9" s="787">
        <f t="shared" si="2"/>
        <v>26796000</v>
      </c>
      <c r="K9" s="716">
        <f t="shared" si="3"/>
        <v>26565000</v>
      </c>
      <c r="L9" s="716">
        <f t="shared" si="4"/>
        <v>26103000</v>
      </c>
    </row>
    <row r="10" spans="2:12" x14ac:dyDescent="0.25">
      <c r="B10" s="719" t="s">
        <v>106161</v>
      </c>
      <c r="C10" s="723">
        <v>1400000</v>
      </c>
      <c r="D10" s="717">
        <f t="shared" si="5"/>
        <v>182000</v>
      </c>
      <c r="E10" s="717">
        <f t="shared" si="0"/>
        <v>210000</v>
      </c>
      <c r="F10" s="717">
        <f t="shared" si="6"/>
        <v>224000</v>
      </c>
      <c r="G10" s="718">
        <f t="shared" si="7"/>
        <v>1582000</v>
      </c>
      <c r="H10" s="787">
        <f t="shared" si="1"/>
        <v>1610000</v>
      </c>
      <c r="I10" s="724">
        <f t="shared" si="8"/>
        <v>1624000</v>
      </c>
      <c r="J10" s="787">
        <f t="shared" si="2"/>
        <v>17864000</v>
      </c>
      <c r="K10" s="716">
        <f t="shared" si="3"/>
        <v>17710000</v>
      </c>
      <c r="L10" s="716">
        <f t="shared" si="4"/>
        <v>17402000</v>
      </c>
    </row>
    <row r="11" spans="2:12" x14ac:dyDescent="0.25">
      <c r="B11" s="719" t="s">
        <v>106166</v>
      </c>
      <c r="C11" s="727">
        <v>2400000</v>
      </c>
      <c r="D11" s="717">
        <f t="shared" si="5"/>
        <v>312000</v>
      </c>
      <c r="E11" s="717">
        <f t="shared" si="0"/>
        <v>360000</v>
      </c>
      <c r="F11" s="726">
        <f t="shared" si="6"/>
        <v>384000</v>
      </c>
      <c r="G11" s="718">
        <f t="shared" si="7"/>
        <v>2712000</v>
      </c>
      <c r="H11" s="787">
        <f t="shared" si="1"/>
        <v>2760000</v>
      </c>
      <c r="I11" s="724">
        <v>2600000</v>
      </c>
      <c r="J11" s="787">
        <f t="shared" si="2"/>
        <v>28600000</v>
      </c>
      <c r="K11" s="716">
        <f t="shared" si="3"/>
        <v>30360000</v>
      </c>
      <c r="L11" s="716">
        <f t="shared" si="4"/>
        <v>29832000</v>
      </c>
    </row>
    <row r="12" spans="2:12" x14ac:dyDescent="0.25">
      <c r="B12" s="719" t="s">
        <v>106167</v>
      </c>
      <c r="C12" s="727">
        <v>2400000</v>
      </c>
      <c r="D12" s="717">
        <f t="shared" si="5"/>
        <v>312000</v>
      </c>
      <c r="E12" s="717">
        <f t="shared" si="0"/>
        <v>360000</v>
      </c>
      <c r="F12" s="726">
        <f t="shared" si="6"/>
        <v>384000</v>
      </c>
      <c r="G12" s="718">
        <f t="shared" si="7"/>
        <v>2712000</v>
      </c>
      <c r="H12" s="787">
        <f t="shared" si="1"/>
        <v>2760000</v>
      </c>
      <c r="I12" s="724">
        <f t="shared" si="8"/>
        <v>2784000</v>
      </c>
      <c r="J12" s="787">
        <f t="shared" si="2"/>
        <v>30624000</v>
      </c>
      <c r="K12" s="716">
        <f t="shared" si="3"/>
        <v>30360000</v>
      </c>
      <c r="L12" s="716">
        <f t="shared" si="4"/>
        <v>29832000</v>
      </c>
    </row>
    <row r="13" spans="2:12" x14ac:dyDescent="0.25">
      <c r="B13" s="719" t="s">
        <v>106168</v>
      </c>
      <c r="C13" s="727">
        <v>1800000</v>
      </c>
      <c r="D13" s="717">
        <f t="shared" si="5"/>
        <v>234000</v>
      </c>
      <c r="E13" s="717">
        <f t="shared" si="0"/>
        <v>270000</v>
      </c>
      <c r="F13" s="726">
        <f t="shared" si="6"/>
        <v>288000</v>
      </c>
      <c r="G13" s="718">
        <f t="shared" si="7"/>
        <v>2034000</v>
      </c>
      <c r="H13" s="787">
        <f t="shared" si="1"/>
        <v>2070000</v>
      </c>
      <c r="I13" s="724">
        <f t="shared" si="8"/>
        <v>2088000</v>
      </c>
      <c r="J13" s="787">
        <f t="shared" si="2"/>
        <v>22968000</v>
      </c>
      <c r="K13" s="716">
        <f t="shared" si="3"/>
        <v>22770000</v>
      </c>
      <c r="L13" s="716">
        <f t="shared" si="4"/>
        <v>22374000</v>
      </c>
    </row>
    <row r="14" spans="2:12" x14ac:dyDescent="0.25">
      <c r="B14" s="719" t="s">
        <v>106168</v>
      </c>
      <c r="C14" s="727">
        <v>1800000</v>
      </c>
      <c r="D14" s="717">
        <f t="shared" si="5"/>
        <v>234000</v>
      </c>
      <c r="E14" s="717">
        <f t="shared" si="0"/>
        <v>270000</v>
      </c>
      <c r="F14" s="726">
        <f t="shared" si="6"/>
        <v>288000</v>
      </c>
      <c r="G14" s="718">
        <f t="shared" si="7"/>
        <v>2034000</v>
      </c>
      <c r="H14" s="787">
        <f t="shared" si="1"/>
        <v>2070000</v>
      </c>
      <c r="I14" s="724">
        <v>2000000</v>
      </c>
      <c r="J14" s="787">
        <f t="shared" si="2"/>
        <v>22000000</v>
      </c>
      <c r="K14" s="716">
        <f t="shared" si="3"/>
        <v>22770000</v>
      </c>
      <c r="L14" s="716">
        <f t="shared" si="4"/>
        <v>22374000</v>
      </c>
    </row>
    <row r="15" spans="2:12" x14ac:dyDescent="0.25">
      <c r="J15" s="788"/>
      <c r="K15" s="788"/>
      <c r="L15" s="788"/>
    </row>
    <row r="16" spans="2:12" x14ac:dyDescent="0.25">
      <c r="I16">
        <f>+I6*2</f>
        <v>10672000</v>
      </c>
      <c r="K16" s="790"/>
      <c r="L16" s="79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34"/>
      <c r="C14" s="835"/>
      <c r="D14" s="835"/>
      <c r="E14" s="835"/>
      <c r="F14" s="835"/>
      <c r="G14" s="835"/>
      <c r="H14" s="835"/>
      <c r="I14" s="835"/>
      <c r="J14" s="836"/>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34"/>
      <c r="C18" s="835"/>
      <c r="D18" s="835"/>
      <c r="E18" s="835"/>
      <c r="F18" s="835"/>
      <c r="G18" s="835"/>
      <c r="H18" s="835"/>
      <c r="I18" s="835"/>
      <c r="J18" s="836"/>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37"/>
      <c r="C21" s="838"/>
      <c r="D21" s="838"/>
      <c r="E21" s="838"/>
      <c r="F21" s="838"/>
      <c r="G21" s="838"/>
      <c r="H21" s="838"/>
      <c r="I21" s="838"/>
      <c r="J21" s="839"/>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37"/>
      <c r="C24" s="838"/>
      <c r="D24" s="838"/>
      <c r="E24" s="838"/>
      <c r="F24" s="838"/>
      <c r="G24" s="838"/>
      <c r="H24" s="838"/>
      <c r="I24" s="838"/>
      <c r="J24" s="839"/>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37"/>
      <c r="C30" s="838"/>
      <c r="D30" s="838"/>
      <c r="E30" s="838"/>
      <c r="F30" s="838"/>
      <c r="G30" s="838"/>
      <c r="H30" s="838"/>
      <c r="I30" s="838"/>
      <c r="J30" s="839"/>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34"/>
      <c r="C36" s="835"/>
      <c r="D36" s="835"/>
      <c r="E36" s="835"/>
      <c r="F36" s="835"/>
      <c r="G36" s="835"/>
      <c r="H36" s="835"/>
      <c r="I36" s="835"/>
      <c r="J36" s="835"/>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34"/>
      <c r="C40" s="835"/>
      <c r="D40" s="835"/>
      <c r="E40" s="835"/>
      <c r="F40" s="835"/>
      <c r="G40" s="835"/>
      <c r="H40" s="835"/>
      <c r="I40" s="835"/>
      <c r="J40" s="835"/>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34"/>
      <c r="C42" s="835"/>
      <c r="D42" s="835"/>
      <c r="E42" s="835"/>
      <c r="F42" s="835"/>
      <c r="G42" s="835"/>
      <c r="H42" s="835"/>
      <c r="I42" s="835"/>
      <c r="J42" s="835"/>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34"/>
      <c r="C44" s="835"/>
      <c r="D44" s="835"/>
      <c r="E44" s="835"/>
      <c r="F44" s="835"/>
      <c r="G44" s="835"/>
      <c r="H44" s="835"/>
      <c r="I44" s="835"/>
      <c r="J44" s="835"/>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40"/>
      <c r="C45" s="841"/>
      <c r="D45" s="841"/>
      <c r="E45" s="841"/>
      <c r="F45" s="841"/>
      <c r="G45" s="841"/>
      <c r="H45" s="841"/>
      <c r="I45" s="841"/>
      <c r="J45" s="841"/>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34"/>
      <c r="C48" s="835"/>
      <c r="D48" s="835"/>
      <c r="E48" s="835"/>
      <c r="F48" s="835"/>
      <c r="G48" s="835"/>
      <c r="H48" s="835"/>
      <c r="I48" s="835"/>
      <c r="J48" s="835"/>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34"/>
      <c r="C52" s="835"/>
      <c r="D52" s="835"/>
      <c r="E52" s="835"/>
      <c r="F52" s="835"/>
      <c r="G52" s="835"/>
      <c r="H52" s="835"/>
      <c r="I52" s="835"/>
      <c r="J52" s="835"/>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40"/>
      <c r="C54" s="841"/>
      <c r="D54" s="841"/>
      <c r="E54" s="841"/>
      <c r="F54" s="841"/>
      <c r="G54" s="841"/>
      <c r="H54" s="841"/>
      <c r="I54" s="841"/>
      <c r="J54" s="841"/>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34"/>
      <c r="C57" s="835"/>
      <c r="D57" s="835"/>
      <c r="E57" s="835"/>
      <c r="F57" s="835"/>
      <c r="G57" s="835"/>
      <c r="H57" s="835"/>
      <c r="I57" s="835"/>
      <c r="J57" s="835"/>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34"/>
      <c r="C59" s="835"/>
      <c r="D59" s="835"/>
      <c r="E59" s="835"/>
      <c r="F59" s="835"/>
      <c r="G59" s="835"/>
      <c r="H59" s="835"/>
      <c r="I59" s="835"/>
      <c r="J59" s="835"/>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34"/>
      <c r="C62" s="835"/>
      <c r="D62" s="835"/>
      <c r="E62" s="835"/>
      <c r="F62" s="835"/>
      <c r="G62" s="835"/>
      <c r="H62" s="835"/>
      <c r="I62" s="835"/>
      <c r="J62" s="835"/>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34"/>
      <c r="C65" s="835"/>
      <c r="D65" s="835"/>
      <c r="E65" s="835"/>
      <c r="F65" s="835"/>
      <c r="G65" s="835"/>
      <c r="H65" s="835"/>
      <c r="I65" s="835"/>
      <c r="J65" s="835"/>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34"/>
      <c r="C67" s="835"/>
      <c r="D67" s="835"/>
      <c r="E67" s="835"/>
      <c r="F67" s="835"/>
      <c r="G67" s="835"/>
      <c r="H67" s="835"/>
      <c r="I67" s="835"/>
      <c r="J67" s="835"/>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34"/>
      <c r="C70" s="835"/>
      <c r="D70" s="835"/>
      <c r="E70" s="835"/>
      <c r="F70" s="835"/>
      <c r="G70" s="835"/>
      <c r="H70" s="835"/>
      <c r="I70" s="835"/>
      <c r="J70" s="835"/>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34"/>
      <c r="C72" s="835"/>
      <c r="D72" s="835"/>
      <c r="E72" s="835"/>
      <c r="F72" s="835"/>
      <c r="G72" s="835"/>
      <c r="H72" s="835"/>
      <c r="I72" s="835"/>
      <c r="J72" s="835"/>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34"/>
      <c r="C82" s="835"/>
      <c r="D82" s="835"/>
      <c r="E82" s="835"/>
      <c r="F82" s="835"/>
      <c r="G82" s="835"/>
      <c r="H82" s="835"/>
      <c r="I82" s="835"/>
      <c r="J82" s="835"/>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34"/>
      <c r="C85" s="835"/>
      <c r="D85" s="835"/>
      <c r="E85" s="835"/>
      <c r="F85" s="835"/>
      <c r="G85" s="835"/>
      <c r="H85" s="835"/>
      <c r="I85" s="835"/>
      <c r="J85" s="835"/>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34"/>
      <c r="C88" s="835"/>
      <c r="D88" s="835"/>
      <c r="E88" s="835"/>
      <c r="F88" s="835"/>
      <c r="G88" s="835"/>
      <c r="H88" s="835"/>
      <c r="I88" s="835"/>
      <c r="J88" s="835"/>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34"/>
      <c r="C91" s="835"/>
      <c r="D91" s="835"/>
      <c r="E91" s="835"/>
      <c r="F91" s="835"/>
      <c r="G91" s="835"/>
      <c r="H91" s="835"/>
      <c r="I91" s="835"/>
      <c r="J91" s="835"/>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40"/>
      <c r="C92" s="841"/>
      <c r="D92" s="841"/>
      <c r="E92" s="841"/>
      <c r="F92" s="841"/>
      <c r="G92" s="841"/>
      <c r="H92" s="841"/>
      <c r="I92" s="841"/>
      <c r="J92" s="841"/>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40"/>
      <c r="C93" s="841"/>
      <c r="D93" s="841"/>
      <c r="E93" s="841"/>
      <c r="F93" s="841"/>
      <c r="G93" s="841"/>
      <c r="H93" s="841"/>
      <c r="I93" s="841"/>
      <c r="J93" s="841"/>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40"/>
      <c r="C94" s="841"/>
      <c r="D94" s="841"/>
      <c r="E94" s="841"/>
      <c r="F94" s="841"/>
      <c r="G94" s="841"/>
      <c r="H94" s="841"/>
      <c r="I94" s="841"/>
      <c r="J94" s="841"/>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40"/>
      <c r="C95" s="841"/>
      <c r="D95" s="841"/>
      <c r="E95" s="841"/>
      <c r="F95" s="841"/>
      <c r="G95" s="841"/>
      <c r="H95" s="841"/>
      <c r="I95" s="841"/>
      <c r="J95" s="841"/>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34"/>
      <c r="C98" s="835"/>
      <c r="D98" s="835"/>
      <c r="E98" s="835"/>
      <c r="F98" s="835"/>
      <c r="G98" s="835"/>
      <c r="H98" s="835"/>
      <c r="I98" s="835"/>
      <c r="J98" s="835"/>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34"/>
      <c r="C104" s="835"/>
      <c r="D104" s="835"/>
      <c r="E104" s="835"/>
      <c r="F104" s="835"/>
      <c r="G104" s="835"/>
      <c r="H104" s="835"/>
      <c r="I104" s="835"/>
      <c r="J104" s="835"/>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40"/>
      <c r="C105" s="841"/>
      <c r="D105" s="841"/>
      <c r="E105" s="841"/>
      <c r="F105" s="841"/>
      <c r="G105" s="841"/>
      <c r="H105" s="841"/>
      <c r="I105" s="841"/>
      <c r="J105" s="841"/>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40"/>
      <c r="C106" s="841"/>
      <c r="D106" s="841"/>
      <c r="E106" s="841"/>
      <c r="F106" s="841"/>
      <c r="G106" s="841"/>
      <c r="H106" s="841"/>
      <c r="I106" s="841"/>
      <c r="J106" s="841"/>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34"/>
      <c r="C108" s="835"/>
      <c r="D108" s="835"/>
      <c r="E108" s="835"/>
      <c r="F108" s="835"/>
      <c r="G108" s="835"/>
      <c r="H108" s="835"/>
      <c r="I108" s="835"/>
      <c r="J108" s="835"/>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40"/>
      <c r="C109" s="841"/>
      <c r="D109" s="841"/>
      <c r="E109" s="841"/>
      <c r="F109" s="841"/>
      <c r="G109" s="841"/>
      <c r="H109" s="841"/>
      <c r="I109" s="841"/>
      <c r="J109" s="841"/>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34"/>
      <c r="C112" s="835"/>
      <c r="D112" s="835"/>
      <c r="E112" s="835"/>
      <c r="F112" s="835"/>
      <c r="G112" s="835"/>
      <c r="H112" s="835"/>
      <c r="I112" s="835"/>
      <c r="J112" s="835"/>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40"/>
      <c r="C113" s="841"/>
      <c r="D113" s="841"/>
      <c r="E113" s="841"/>
      <c r="F113" s="841"/>
      <c r="G113" s="841"/>
      <c r="H113" s="841"/>
      <c r="I113" s="841"/>
      <c r="J113" s="841"/>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34"/>
      <c r="C119" s="835"/>
      <c r="D119" s="835"/>
      <c r="E119" s="835"/>
      <c r="F119" s="835"/>
      <c r="G119" s="835"/>
      <c r="H119" s="835"/>
      <c r="I119" s="835"/>
      <c r="J119" s="835"/>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34"/>
      <c r="C121" s="835"/>
      <c r="D121" s="835"/>
      <c r="E121" s="835"/>
      <c r="F121" s="835"/>
      <c r="G121" s="835"/>
      <c r="H121" s="835"/>
      <c r="I121" s="835"/>
      <c r="J121" s="835"/>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34"/>
      <c r="C125" s="835"/>
      <c r="D125" s="835"/>
      <c r="E125" s="835"/>
      <c r="F125" s="835"/>
      <c r="G125" s="835"/>
      <c r="H125" s="835"/>
      <c r="I125" s="835"/>
      <c r="J125" s="836"/>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34"/>
      <c r="C132" s="835"/>
      <c r="D132" s="835"/>
      <c r="E132" s="835"/>
      <c r="F132" s="835"/>
      <c r="G132" s="835"/>
      <c r="H132" s="835"/>
      <c r="I132" s="835"/>
      <c r="J132" s="835"/>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40"/>
      <c r="C133" s="841"/>
      <c r="D133" s="841"/>
      <c r="E133" s="841"/>
      <c r="F133" s="841"/>
      <c r="G133" s="841"/>
      <c r="H133" s="841"/>
      <c r="I133" s="841"/>
      <c r="J133" s="841"/>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34"/>
      <c r="C139" s="835"/>
      <c r="D139" s="835"/>
      <c r="E139" s="835"/>
      <c r="F139" s="835"/>
      <c r="G139" s="835"/>
      <c r="H139" s="835"/>
      <c r="I139" s="835"/>
      <c r="J139" s="835"/>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40"/>
      <c r="C141" s="841"/>
      <c r="D141" s="841"/>
      <c r="E141" s="841"/>
      <c r="F141" s="841"/>
      <c r="G141" s="841"/>
      <c r="H141" s="841"/>
      <c r="I141" s="841"/>
      <c r="J141" s="841"/>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40"/>
      <c r="C142" s="841"/>
      <c r="D142" s="841"/>
      <c r="E142" s="841"/>
      <c r="F142" s="841"/>
      <c r="G142" s="841"/>
      <c r="H142" s="841"/>
      <c r="I142" s="841"/>
      <c r="J142" s="841"/>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40"/>
      <c r="C143" s="841"/>
      <c r="D143" s="841"/>
      <c r="E143" s="841"/>
      <c r="F143" s="841"/>
      <c r="G143" s="841"/>
      <c r="H143" s="841"/>
      <c r="I143" s="841"/>
      <c r="J143" s="841"/>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40"/>
      <c r="C144" s="841"/>
      <c r="D144" s="841"/>
      <c r="E144" s="841"/>
      <c r="F144" s="841"/>
      <c r="G144" s="841"/>
      <c r="H144" s="841"/>
      <c r="I144" s="841"/>
      <c r="J144" s="841"/>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40"/>
      <c r="C145" s="841"/>
      <c r="D145" s="841"/>
      <c r="E145" s="841"/>
      <c r="F145" s="841"/>
      <c r="G145" s="841"/>
      <c r="H145" s="841"/>
      <c r="I145" s="841"/>
      <c r="J145" s="841"/>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40"/>
      <c r="C146" s="841"/>
      <c r="D146" s="841"/>
      <c r="E146" s="841"/>
      <c r="F146" s="841"/>
      <c r="G146" s="841"/>
      <c r="H146" s="841"/>
      <c r="I146" s="841"/>
      <c r="J146" s="841"/>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40"/>
      <c r="C147" s="841"/>
      <c r="D147" s="841"/>
      <c r="E147" s="841"/>
      <c r="F147" s="841"/>
      <c r="G147" s="841"/>
      <c r="H147" s="841"/>
      <c r="I147" s="841"/>
      <c r="J147" s="841"/>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40"/>
      <c r="C148" s="841"/>
      <c r="D148" s="841"/>
      <c r="E148" s="841"/>
      <c r="F148" s="841"/>
      <c r="G148" s="841"/>
      <c r="H148" s="841"/>
      <c r="I148" s="841"/>
      <c r="J148" s="841"/>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34"/>
      <c r="C150" s="835"/>
      <c r="D150" s="835"/>
      <c r="E150" s="835"/>
      <c r="F150" s="835"/>
      <c r="G150" s="835"/>
      <c r="H150" s="835"/>
      <c r="I150" s="835"/>
      <c r="J150" s="835"/>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34"/>
      <c r="C153" s="835"/>
      <c r="D153" s="835"/>
      <c r="E153" s="835"/>
      <c r="F153" s="835"/>
      <c r="G153" s="835"/>
      <c r="H153" s="835"/>
      <c r="I153" s="835"/>
      <c r="J153" s="835"/>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40"/>
      <c r="C154" s="841"/>
      <c r="D154" s="841"/>
      <c r="E154" s="841"/>
      <c r="F154" s="841"/>
      <c r="G154" s="841"/>
      <c r="H154" s="841"/>
      <c r="I154" s="841"/>
      <c r="J154" s="841"/>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40"/>
      <c r="C155" s="841"/>
      <c r="D155" s="841"/>
      <c r="E155" s="841"/>
      <c r="F155" s="841"/>
      <c r="G155" s="841"/>
      <c r="H155" s="841"/>
      <c r="I155" s="841"/>
      <c r="J155" s="841"/>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34"/>
      <c r="C157" s="835"/>
      <c r="D157" s="835"/>
      <c r="E157" s="835"/>
      <c r="F157" s="835"/>
      <c r="G157" s="835"/>
      <c r="H157" s="835"/>
      <c r="I157" s="835"/>
      <c r="J157" s="835"/>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40"/>
      <c r="C158" s="841"/>
      <c r="D158" s="841"/>
      <c r="E158" s="841"/>
      <c r="F158" s="841"/>
      <c r="G158" s="841"/>
      <c r="H158" s="841"/>
      <c r="I158" s="841"/>
      <c r="J158" s="841"/>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34"/>
      <c r="C162" s="835"/>
      <c r="D162" s="835"/>
      <c r="E162" s="835"/>
      <c r="F162" s="835"/>
      <c r="G162" s="835"/>
      <c r="H162" s="835"/>
      <c r="I162" s="835"/>
      <c r="J162" s="835"/>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34"/>
      <c r="C164" s="835"/>
      <c r="D164" s="835"/>
      <c r="E164" s="835"/>
      <c r="F164" s="835"/>
      <c r="G164" s="835"/>
      <c r="H164" s="835"/>
      <c r="I164" s="835"/>
      <c r="J164" s="835"/>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40"/>
      <c r="C165" s="841"/>
      <c r="D165" s="841"/>
      <c r="E165" s="841"/>
      <c r="F165" s="841"/>
      <c r="G165" s="841"/>
      <c r="H165" s="841"/>
      <c r="I165" s="841"/>
      <c r="J165" s="841"/>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40"/>
      <c r="C166" s="841"/>
      <c r="D166" s="841"/>
      <c r="E166" s="841"/>
      <c r="F166" s="841"/>
      <c r="G166" s="841"/>
      <c r="H166" s="841"/>
      <c r="I166" s="841"/>
      <c r="J166" s="841"/>
      <c r="K166" s="353"/>
      <c r="L166" s="4" t="s">
        <v>377</v>
      </c>
      <c r="M166" s="2"/>
      <c r="N166" s="2"/>
      <c r="O166" s="3"/>
      <c r="P166" s="3"/>
      <c r="Q166" s="399"/>
      <c r="R166" s="256">
        <v>660000</v>
      </c>
      <c r="S166" s="439">
        <v>600000</v>
      </c>
      <c r="T166" s="439">
        <v>660000</v>
      </c>
      <c r="U166" s="440"/>
      <c r="V166" s="441"/>
      <c r="W166" s="442" t="s">
        <v>166</v>
      </c>
    </row>
    <row r="167" spans="2:23" ht="285" x14ac:dyDescent="0.2">
      <c r="B167" s="840"/>
      <c r="C167" s="841"/>
      <c r="D167" s="841"/>
      <c r="E167" s="841"/>
      <c r="F167" s="841"/>
      <c r="G167" s="841"/>
      <c r="H167" s="841"/>
      <c r="I167" s="841"/>
      <c r="J167" s="841"/>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34"/>
      <c r="C169" s="835"/>
      <c r="D169" s="835"/>
      <c r="E169" s="835"/>
      <c r="F169" s="835"/>
      <c r="G169" s="835"/>
      <c r="H169" s="835"/>
      <c r="I169" s="835"/>
      <c r="J169" s="835"/>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40"/>
      <c r="C174" s="841"/>
      <c r="D174" s="841"/>
      <c r="E174" s="841"/>
      <c r="F174" s="841"/>
      <c r="G174" s="841"/>
      <c r="H174" s="841"/>
      <c r="I174" s="841"/>
      <c r="J174" s="841"/>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34"/>
      <c r="C178" s="835"/>
      <c r="D178" s="835"/>
      <c r="E178" s="835"/>
      <c r="F178" s="835"/>
      <c r="G178" s="835"/>
      <c r="H178" s="835"/>
      <c r="I178" s="835"/>
      <c r="J178" s="835"/>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40"/>
      <c r="C179" s="841"/>
      <c r="D179" s="841"/>
      <c r="E179" s="841"/>
      <c r="F179" s="841"/>
      <c r="G179" s="841"/>
      <c r="H179" s="841"/>
      <c r="I179" s="841"/>
      <c r="J179" s="841"/>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34"/>
      <c r="C182" s="835"/>
      <c r="D182" s="835"/>
      <c r="E182" s="835"/>
      <c r="F182" s="835"/>
      <c r="G182" s="835"/>
      <c r="H182" s="835"/>
      <c r="I182" s="835"/>
      <c r="J182" s="836"/>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34"/>
      <c r="C185" s="835"/>
      <c r="D185" s="835"/>
      <c r="E185" s="835"/>
      <c r="F185" s="835"/>
      <c r="G185" s="835"/>
      <c r="H185" s="835"/>
      <c r="I185" s="835"/>
      <c r="J185" s="835"/>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34"/>
      <c r="C190" s="835"/>
      <c r="D190" s="835"/>
      <c r="E190" s="835"/>
      <c r="F190" s="835"/>
      <c r="G190" s="835"/>
      <c r="H190" s="835"/>
      <c r="I190" s="835"/>
      <c r="J190" s="835"/>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37"/>
      <c r="C192" s="838"/>
      <c r="D192" s="838"/>
      <c r="E192" s="838"/>
      <c r="F192" s="838"/>
      <c r="G192" s="838"/>
      <c r="H192" s="838"/>
      <c r="I192" s="838"/>
      <c r="J192" s="838"/>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34"/>
      <c r="C199" s="835"/>
      <c r="D199" s="835"/>
      <c r="E199" s="835"/>
      <c r="F199" s="835"/>
      <c r="G199" s="835"/>
      <c r="H199" s="835"/>
      <c r="I199" s="835"/>
      <c r="J199" s="835"/>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37"/>
      <c r="C203" s="838"/>
      <c r="D203" s="838"/>
      <c r="E203" s="838"/>
      <c r="F203" s="838"/>
      <c r="G203" s="838"/>
      <c r="H203" s="838"/>
      <c r="I203" s="838"/>
      <c r="J203" s="839"/>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37"/>
      <c r="C206" s="838"/>
      <c r="D206" s="838"/>
      <c r="E206" s="838"/>
      <c r="F206" s="838"/>
      <c r="G206" s="838"/>
      <c r="H206" s="838"/>
      <c r="I206" s="838"/>
      <c r="J206" s="839"/>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37"/>
      <c r="C213" s="838"/>
      <c r="D213" s="838"/>
      <c r="E213" s="838"/>
      <c r="F213" s="838"/>
      <c r="G213" s="838"/>
      <c r="H213" s="838"/>
      <c r="I213" s="838"/>
      <c r="J213" s="839"/>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34"/>
      <c r="C218" s="835"/>
      <c r="D218" s="835"/>
      <c r="E218" s="835"/>
      <c r="F218" s="835"/>
      <c r="G218" s="835"/>
      <c r="H218" s="835"/>
      <c r="I218" s="835"/>
      <c r="J218" s="835"/>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40"/>
      <c r="C219" s="841"/>
      <c r="D219" s="841"/>
      <c r="E219" s="841"/>
      <c r="F219" s="841"/>
      <c r="G219" s="841"/>
      <c r="H219" s="841"/>
      <c r="I219" s="841"/>
      <c r="J219" s="841"/>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40"/>
      <c r="C220" s="841"/>
      <c r="D220" s="841"/>
      <c r="E220" s="841"/>
      <c r="F220" s="841"/>
      <c r="G220" s="841"/>
      <c r="H220" s="841"/>
      <c r="I220" s="841"/>
      <c r="J220" s="841"/>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40"/>
      <c r="C221" s="841"/>
      <c r="D221" s="841"/>
      <c r="E221" s="841"/>
      <c r="F221" s="841"/>
      <c r="G221" s="841"/>
      <c r="H221" s="841"/>
      <c r="I221" s="841"/>
      <c r="J221" s="841"/>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40"/>
      <c r="C222" s="841"/>
      <c r="D222" s="841"/>
      <c r="E222" s="841"/>
      <c r="F222" s="841"/>
      <c r="G222" s="841"/>
      <c r="H222" s="841"/>
      <c r="I222" s="841"/>
      <c r="J222" s="841"/>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40"/>
      <c r="C223" s="841"/>
      <c r="D223" s="841"/>
      <c r="E223" s="841"/>
      <c r="F223" s="841"/>
      <c r="G223" s="841"/>
      <c r="H223" s="841"/>
      <c r="I223" s="841"/>
      <c r="J223" s="841"/>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40"/>
      <c r="C224" s="841"/>
      <c r="D224" s="841"/>
      <c r="E224" s="841"/>
      <c r="F224" s="841"/>
      <c r="G224" s="841"/>
      <c r="H224" s="841"/>
      <c r="I224" s="841"/>
      <c r="J224" s="841"/>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40"/>
      <c r="C225" s="841"/>
      <c r="D225" s="841"/>
      <c r="E225" s="841"/>
      <c r="F225" s="841"/>
      <c r="G225" s="841"/>
      <c r="H225" s="841"/>
      <c r="I225" s="841"/>
      <c r="J225" s="841"/>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40"/>
      <c r="C226" s="841"/>
      <c r="D226" s="841"/>
      <c r="E226" s="841"/>
      <c r="F226" s="841"/>
      <c r="G226" s="841"/>
      <c r="H226" s="841"/>
      <c r="I226" s="841"/>
      <c r="J226" s="841"/>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40"/>
      <c r="C227" s="841"/>
      <c r="D227" s="841"/>
      <c r="E227" s="841"/>
      <c r="F227" s="841"/>
      <c r="G227" s="841"/>
      <c r="H227" s="841"/>
      <c r="I227" s="841"/>
      <c r="J227" s="841"/>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40"/>
      <c r="C228" s="841"/>
      <c r="D228" s="841"/>
      <c r="E228" s="841"/>
      <c r="F228" s="841"/>
      <c r="G228" s="841"/>
      <c r="H228" s="841"/>
      <c r="I228" s="841"/>
      <c r="J228" s="841"/>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40"/>
      <c r="C229" s="841"/>
      <c r="D229" s="841"/>
      <c r="E229" s="841"/>
      <c r="F229" s="841"/>
      <c r="G229" s="841"/>
      <c r="H229" s="841"/>
      <c r="I229" s="841"/>
      <c r="J229" s="841"/>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40"/>
      <c r="C231" s="841"/>
      <c r="D231" s="841"/>
      <c r="E231" s="841"/>
      <c r="F231" s="841"/>
      <c r="G231" s="841"/>
      <c r="H231" s="841"/>
      <c r="I231" s="841"/>
      <c r="J231" s="841"/>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40"/>
      <c r="C232" s="841"/>
      <c r="D232" s="841"/>
      <c r="E232" s="841"/>
      <c r="F232" s="841"/>
      <c r="G232" s="841"/>
      <c r="H232" s="841"/>
      <c r="I232" s="841"/>
      <c r="J232" s="841"/>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34"/>
      <c r="C234" s="835"/>
      <c r="D234" s="835"/>
      <c r="E234" s="835"/>
      <c r="F234" s="835"/>
      <c r="G234" s="835"/>
      <c r="H234" s="835"/>
      <c r="I234" s="835"/>
      <c r="J234" s="835"/>
      <c r="K234" s="1"/>
      <c r="L234" s="4" t="s">
        <v>297</v>
      </c>
      <c r="M234" s="2"/>
      <c r="N234" s="2"/>
      <c r="O234" s="3"/>
      <c r="P234" s="3"/>
      <c r="Q234" s="399"/>
      <c r="R234" s="256">
        <v>346060000</v>
      </c>
      <c r="S234" s="439">
        <v>314600000</v>
      </c>
      <c r="T234" s="439">
        <v>346060000</v>
      </c>
      <c r="U234" s="440"/>
      <c r="V234" s="441"/>
      <c r="W234" s="442" t="s">
        <v>166</v>
      </c>
    </row>
    <row r="235" spans="2:23" ht="30" x14ac:dyDescent="0.2">
      <c r="B235" s="840"/>
      <c r="C235" s="841"/>
      <c r="D235" s="841"/>
      <c r="E235" s="841"/>
      <c r="F235" s="841"/>
      <c r="G235" s="841"/>
      <c r="H235" s="841"/>
      <c r="I235" s="841"/>
      <c r="J235" s="841"/>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40"/>
      <c r="C236" s="841"/>
      <c r="D236" s="841"/>
      <c r="E236" s="841"/>
      <c r="F236" s="841"/>
      <c r="G236" s="841"/>
      <c r="H236" s="841"/>
      <c r="I236" s="841"/>
      <c r="J236" s="841"/>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34"/>
      <c r="C255" s="835"/>
      <c r="D255" s="835"/>
      <c r="E255" s="835"/>
      <c r="F255" s="835"/>
      <c r="G255" s="835"/>
      <c r="H255" s="835"/>
      <c r="I255" s="835"/>
      <c r="J255" s="835"/>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34"/>
      <c r="C258" s="835"/>
      <c r="D258" s="835"/>
      <c r="E258" s="835"/>
      <c r="F258" s="835"/>
      <c r="G258" s="835"/>
      <c r="H258" s="835"/>
      <c r="I258" s="835"/>
      <c r="J258" s="835"/>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40"/>
      <c r="C265" s="841"/>
      <c r="D265" s="841"/>
      <c r="E265" s="841"/>
      <c r="F265" s="841"/>
      <c r="G265" s="841"/>
      <c r="H265" s="841"/>
      <c r="I265" s="841"/>
      <c r="J265" s="841"/>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46"/>
      <c r="C269" s="847"/>
      <c r="D269" s="847"/>
      <c r="E269" s="847"/>
      <c r="F269" s="847"/>
      <c r="G269" s="847"/>
      <c r="H269" s="847"/>
      <c r="I269" s="847"/>
      <c r="J269" s="847"/>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46"/>
      <c r="C271" s="847"/>
      <c r="D271" s="847"/>
      <c r="E271" s="847"/>
      <c r="F271" s="847"/>
      <c r="G271" s="847"/>
      <c r="H271" s="847"/>
      <c r="I271" s="847"/>
      <c r="J271" s="847"/>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34"/>
      <c r="C276" s="835"/>
      <c r="D276" s="835"/>
      <c r="E276" s="835"/>
      <c r="F276" s="835"/>
      <c r="G276" s="835"/>
      <c r="H276" s="835"/>
      <c r="I276" s="835"/>
      <c r="J276" s="835"/>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34"/>
      <c r="C278" s="835"/>
      <c r="D278" s="835"/>
      <c r="E278" s="835"/>
      <c r="F278" s="835"/>
      <c r="G278" s="835"/>
      <c r="H278" s="835"/>
      <c r="I278" s="835"/>
      <c r="J278" s="835"/>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34"/>
      <c r="C280" s="835"/>
      <c r="D280" s="835"/>
      <c r="E280" s="835"/>
      <c r="F280" s="835"/>
      <c r="G280" s="835"/>
      <c r="H280" s="835"/>
      <c r="I280" s="835"/>
      <c r="J280" s="835"/>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40"/>
      <c r="C291" s="841"/>
      <c r="D291" s="841"/>
      <c r="E291" s="841"/>
      <c r="F291" s="841"/>
      <c r="G291" s="841"/>
      <c r="H291" s="841"/>
      <c r="I291" s="841"/>
      <c r="J291" s="841"/>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40"/>
      <c r="C292" s="841"/>
      <c r="D292" s="841"/>
      <c r="E292" s="841"/>
      <c r="F292" s="841"/>
      <c r="G292" s="841"/>
      <c r="H292" s="841"/>
      <c r="I292" s="841"/>
      <c r="J292" s="841"/>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40"/>
      <c r="C293" s="841"/>
      <c r="D293" s="841"/>
      <c r="E293" s="841"/>
      <c r="F293" s="841"/>
      <c r="G293" s="841"/>
      <c r="H293" s="841"/>
      <c r="I293" s="841"/>
      <c r="J293" s="841"/>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40"/>
      <c r="C294" s="841"/>
      <c r="D294" s="841"/>
      <c r="E294" s="841"/>
      <c r="F294" s="841"/>
      <c r="G294" s="841"/>
      <c r="H294" s="841"/>
      <c r="I294" s="841"/>
      <c r="J294" s="841"/>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40"/>
      <c r="C295" s="841"/>
      <c r="D295" s="841"/>
      <c r="E295" s="841"/>
      <c r="F295" s="841"/>
      <c r="G295" s="841"/>
      <c r="H295" s="841"/>
      <c r="I295" s="841"/>
      <c r="J295" s="841"/>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40"/>
      <c r="C296" s="841"/>
      <c r="D296" s="841"/>
      <c r="E296" s="841"/>
      <c r="F296" s="841"/>
      <c r="G296" s="841"/>
      <c r="H296" s="841"/>
      <c r="I296" s="841"/>
      <c r="J296" s="841"/>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34"/>
      <c r="C299" s="835"/>
      <c r="D299" s="835"/>
      <c r="E299" s="835"/>
      <c r="F299" s="835"/>
      <c r="G299" s="835"/>
      <c r="H299" s="835"/>
      <c r="I299" s="835"/>
      <c r="J299" s="835"/>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40"/>
      <c r="C300" s="841"/>
      <c r="D300" s="841"/>
      <c r="E300" s="841"/>
      <c r="F300" s="841"/>
      <c r="G300" s="841"/>
      <c r="H300" s="841"/>
      <c r="I300" s="841"/>
      <c r="J300" s="841"/>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40"/>
      <c r="C301" s="841"/>
      <c r="D301" s="841"/>
      <c r="E301" s="841"/>
      <c r="F301" s="841"/>
      <c r="G301" s="841"/>
      <c r="H301" s="841"/>
      <c r="I301" s="841"/>
      <c r="J301" s="841"/>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40"/>
      <c r="C302" s="841"/>
      <c r="D302" s="841"/>
      <c r="E302" s="841"/>
      <c r="F302" s="841"/>
      <c r="G302" s="841"/>
      <c r="H302" s="841"/>
      <c r="I302" s="841"/>
      <c r="J302" s="841"/>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40"/>
      <c r="C303" s="841"/>
      <c r="D303" s="841"/>
      <c r="E303" s="841"/>
      <c r="F303" s="841"/>
      <c r="G303" s="841"/>
      <c r="H303" s="841"/>
      <c r="I303" s="841"/>
      <c r="J303" s="841"/>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40"/>
      <c r="C304" s="841"/>
      <c r="D304" s="841"/>
      <c r="E304" s="841"/>
      <c r="F304" s="841"/>
      <c r="G304" s="841"/>
      <c r="H304" s="841"/>
      <c r="I304" s="841"/>
      <c r="J304" s="841"/>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40"/>
      <c r="C305" s="841"/>
      <c r="D305" s="841"/>
      <c r="E305" s="841"/>
      <c r="F305" s="841"/>
      <c r="G305" s="841"/>
      <c r="H305" s="841"/>
      <c r="I305" s="841"/>
      <c r="J305" s="841"/>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40"/>
      <c r="C306" s="841"/>
      <c r="D306" s="841"/>
      <c r="E306" s="841"/>
      <c r="F306" s="841"/>
      <c r="G306" s="841"/>
      <c r="H306" s="841"/>
      <c r="I306" s="841"/>
      <c r="J306" s="841"/>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40"/>
      <c r="C307" s="841"/>
      <c r="D307" s="841"/>
      <c r="E307" s="841"/>
      <c r="F307" s="841"/>
      <c r="G307" s="841"/>
      <c r="H307" s="841"/>
      <c r="I307" s="841"/>
      <c r="J307" s="841"/>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40"/>
      <c r="C308" s="841"/>
      <c r="D308" s="841"/>
      <c r="E308" s="841"/>
      <c r="F308" s="841"/>
      <c r="G308" s="841"/>
      <c r="H308" s="841"/>
      <c r="I308" s="841"/>
      <c r="J308" s="841"/>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40"/>
      <c r="C309" s="841"/>
      <c r="D309" s="841"/>
      <c r="E309" s="841"/>
      <c r="F309" s="841"/>
      <c r="G309" s="841"/>
      <c r="H309" s="841"/>
      <c r="I309" s="841"/>
      <c r="J309" s="841"/>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40"/>
      <c r="C310" s="841"/>
      <c r="D310" s="841"/>
      <c r="E310" s="841"/>
      <c r="F310" s="841"/>
      <c r="G310" s="841"/>
      <c r="H310" s="841"/>
      <c r="I310" s="841"/>
      <c r="J310" s="841"/>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42"/>
      <c r="C311" s="843"/>
      <c r="D311" s="843"/>
      <c r="E311" s="843"/>
      <c r="F311" s="843"/>
      <c r="G311" s="843"/>
      <c r="H311" s="843"/>
      <c r="I311" s="843"/>
      <c r="J311" s="843"/>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44" t="s">
        <v>106089</v>
      </c>
      <c r="C314" s="845"/>
      <c r="D314" s="845"/>
      <c r="E314" s="845"/>
      <c r="F314" s="845"/>
      <c r="G314" s="845"/>
      <c r="H314" s="845"/>
      <c r="I314" s="845"/>
      <c r="J314" s="845"/>
      <c r="K314" s="845"/>
      <c r="L314" s="845"/>
      <c r="M314" s="845"/>
      <c r="N314" s="845"/>
      <c r="O314" s="845"/>
      <c r="P314" s="845"/>
      <c r="Q314" s="845"/>
      <c r="R314" s="845"/>
      <c r="S314" s="845"/>
      <c r="T314" s="845"/>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52"/>
      <c r="C13" s="848"/>
      <c r="D13" s="848"/>
      <c r="E13" s="848"/>
      <c r="F13" s="848"/>
      <c r="G13" s="848"/>
      <c r="H13" s="848"/>
      <c r="I13" s="848"/>
      <c r="J13" s="849"/>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52"/>
      <c r="C19" s="848"/>
      <c r="D19" s="848"/>
      <c r="E19" s="848"/>
      <c r="F19" s="848"/>
      <c r="G19" s="848"/>
      <c r="H19" s="848"/>
      <c r="I19" s="848"/>
      <c r="J19" s="849"/>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52"/>
      <c r="C28" s="848"/>
      <c r="D28" s="848"/>
      <c r="E28" s="848"/>
      <c r="F28" s="848"/>
      <c r="G28" s="848"/>
      <c r="H28" s="848"/>
      <c r="I28" s="848"/>
      <c r="J28" s="849"/>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52" t="s">
        <v>106169</v>
      </c>
      <c r="C34" s="848"/>
      <c r="D34" s="848"/>
      <c r="E34" s="848"/>
      <c r="F34" s="848"/>
      <c r="G34" s="848"/>
      <c r="H34" s="848"/>
      <c r="I34" s="848"/>
      <c r="J34" s="848"/>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52"/>
      <c r="C38" s="848"/>
      <c r="D38" s="848"/>
      <c r="E38" s="848"/>
      <c r="F38" s="848"/>
      <c r="G38" s="848"/>
      <c r="H38" s="848"/>
      <c r="I38" s="848"/>
      <c r="J38" s="848"/>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52"/>
      <c r="C40" s="848"/>
      <c r="D40" s="848"/>
      <c r="E40" s="848"/>
      <c r="F40" s="848"/>
      <c r="G40" s="848"/>
      <c r="H40" s="848"/>
      <c r="I40" s="848"/>
      <c r="J40" s="848"/>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52"/>
      <c r="C42" s="848"/>
      <c r="D42" s="848"/>
      <c r="E42" s="848"/>
      <c r="F42" s="848"/>
      <c r="G42" s="848"/>
      <c r="H42" s="848"/>
      <c r="I42" s="848"/>
      <c r="J42" s="848"/>
      <c r="K42" s="67">
        <v>14121500</v>
      </c>
      <c r="L42" s="58" t="s">
        <v>308</v>
      </c>
      <c r="M42" s="59">
        <v>44607</v>
      </c>
      <c r="N42" s="59" t="s">
        <v>256</v>
      </c>
      <c r="O42" s="60" t="s">
        <v>305</v>
      </c>
      <c r="P42" s="60" t="s">
        <v>219</v>
      </c>
      <c r="Q42" s="61">
        <v>385000</v>
      </c>
      <c r="R42" s="62"/>
      <c r="S42" s="63"/>
      <c r="T42" s="64" t="s">
        <v>303</v>
      </c>
    </row>
    <row r="43" spans="2:20" ht="120" outlineLevel="1" x14ac:dyDescent="0.2">
      <c r="B43" s="855"/>
      <c r="C43" s="850"/>
      <c r="D43" s="850"/>
      <c r="E43" s="850"/>
      <c r="F43" s="850"/>
      <c r="G43" s="850"/>
      <c r="H43" s="850"/>
      <c r="I43" s="850"/>
      <c r="J43" s="850"/>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52"/>
      <c r="C45" s="848"/>
      <c r="D45" s="848"/>
      <c r="E45" s="848"/>
      <c r="F45" s="848"/>
      <c r="G45" s="848"/>
      <c r="H45" s="848"/>
      <c r="I45" s="848"/>
      <c r="J45" s="848"/>
      <c r="K45" s="57" t="s">
        <v>309</v>
      </c>
      <c r="L45" s="58" t="s">
        <v>157</v>
      </c>
      <c r="M45" s="59">
        <v>44635</v>
      </c>
      <c r="N45" s="59" t="s">
        <v>315</v>
      </c>
      <c r="O45" s="60" t="s">
        <v>305</v>
      </c>
      <c r="P45" s="60" t="s">
        <v>426</v>
      </c>
      <c r="Q45" s="61">
        <v>72200000</v>
      </c>
      <c r="R45" s="62"/>
      <c r="S45" s="63"/>
      <c r="T45" s="64" t="s">
        <v>303</v>
      </c>
    </row>
    <row r="46" spans="2:20" ht="120" outlineLevel="1" x14ac:dyDescent="0.2">
      <c r="B46" s="855"/>
      <c r="C46" s="850"/>
      <c r="D46" s="850"/>
      <c r="E46" s="850"/>
      <c r="F46" s="850"/>
      <c r="G46" s="850"/>
      <c r="H46" s="850"/>
      <c r="I46" s="850"/>
      <c r="J46" s="850"/>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52"/>
      <c r="C50" s="848"/>
      <c r="D50" s="848"/>
      <c r="E50" s="848"/>
      <c r="F50" s="848"/>
      <c r="G50" s="848"/>
      <c r="H50" s="848"/>
      <c r="I50" s="848"/>
      <c r="J50" s="848"/>
      <c r="K50" s="57" t="s">
        <v>287</v>
      </c>
      <c r="L50" s="58" t="s">
        <v>165</v>
      </c>
      <c r="M50" s="59">
        <v>44607</v>
      </c>
      <c r="N50" s="59" t="s">
        <v>275</v>
      </c>
      <c r="O50" s="60" t="s">
        <v>288</v>
      </c>
      <c r="P50" s="60" t="s">
        <v>219</v>
      </c>
      <c r="Q50" s="61">
        <v>20000000</v>
      </c>
      <c r="R50" s="62"/>
      <c r="S50" s="63"/>
      <c r="T50" s="64" t="s">
        <v>167</v>
      </c>
    </row>
    <row r="51" spans="2:20" ht="45" outlineLevel="1" x14ac:dyDescent="0.2">
      <c r="B51" s="855"/>
      <c r="C51" s="850"/>
      <c r="D51" s="850"/>
      <c r="E51" s="850"/>
      <c r="F51" s="850"/>
      <c r="G51" s="850"/>
      <c r="H51" s="850"/>
      <c r="I51" s="850"/>
      <c r="J51" s="850"/>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55"/>
      <c r="C53" s="850"/>
      <c r="D53" s="850"/>
      <c r="E53" s="850"/>
      <c r="F53" s="850"/>
      <c r="G53" s="850"/>
      <c r="H53" s="850"/>
      <c r="I53" s="850"/>
      <c r="J53" s="850"/>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52"/>
      <c r="C57" s="848"/>
      <c r="D57" s="848"/>
      <c r="E57" s="848"/>
      <c r="F57" s="848"/>
      <c r="G57" s="848"/>
      <c r="H57" s="848"/>
      <c r="I57" s="848"/>
      <c r="J57" s="848"/>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52"/>
      <c r="C59" s="848"/>
      <c r="D59" s="848"/>
      <c r="E59" s="848"/>
      <c r="F59" s="848"/>
      <c r="G59" s="848"/>
      <c r="H59" s="848"/>
      <c r="I59" s="848"/>
      <c r="J59" s="848"/>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52"/>
      <c r="C62" s="848"/>
      <c r="D62" s="848"/>
      <c r="E62" s="848"/>
      <c r="F62" s="848"/>
      <c r="G62" s="848"/>
      <c r="H62" s="848"/>
      <c r="I62" s="848"/>
      <c r="J62" s="848"/>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52"/>
      <c r="C65" s="848"/>
      <c r="D65" s="848"/>
      <c r="E65" s="848"/>
      <c r="F65" s="848"/>
      <c r="G65" s="848"/>
      <c r="H65" s="848"/>
      <c r="I65" s="848"/>
      <c r="J65" s="848"/>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52"/>
      <c r="C67" s="848"/>
      <c r="D67" s="848"/>
      <c r="E67" s="848"/>
      <c r="F67" s="848"/>
      <c r="G67" s="848"/>
      <c r="H67" s="848"/>
      <c r="I67" s="848"/>
      <c r="J67" s="848"/>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55"/>
      <c r="C72" s="850"/>
      <c r="D72" s="850"/>
      <c r="E72" s="850"/>
      <c r="F72" s="850"/>
      <c r="G72" s="850"/>
      <c r="H72" s="850"/>
      <c r="I72" s="850"/>
      <c r="J72" s="850"/>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52"/>
      <c r="C81" s="848"/>
      <c r="D81" s="848"/>
      <c r="E81" s="848"/>
      <c r="F81" s="848"/>
      <c r="G81" s="848"/>
      <c r="H81" s="848"/>
      <c r="I81" s="848"/>
      <c r="J81" s="848"/>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52"/>
      <c r="C84" s="848"/>
      <c r="D84" s="848"/>
      <c r="E84" s="848"/>
      <c r="F84" s="848"/>
      <c r="G84" s="848"/>
      <c r="H84" s="848"/>
      <c r="I84" s="848"/>
      <c r="J84" s="848"/>
      <c r="K84" s="57" t="s">
        <v>203</v>
      </c>
      <c r="L84" s="58" t="s">
        <v>150</v>
      </c>
      <c r="M84" s="59">
        <v>44814</v>
      </c>
      <c r="N84" s="59" t="s">
        <v>369</v>
      </c>
      <c r="O84" s="60" t="s">
        <v>257</v>
      </c>
      <c r="P84" s="60" t="s">
        <v>210</v>
      </c>
      <c r="Q84" s="61">
        <v>26250000</v>
      </c>
      <c r="R84" s="62" t="s">
        <v>224</v>
      </c>
      <c r="S84" s="63"/>
      <c r="T84" s="64" t="s">
        <v>156</v>
      </c>
    </row>
    <row r="85" spans="2:20" ht="30" outlineLevel="1" x14ac:dyDescent="0.2">
      <c r="B85" s="855"/>
      <c r="C85" s="850"/>
      <c r="D85" s="850"/>
      <c r="E85" s="850"/>
      <c r="F85" s="850"/>
      <c r="G85" s="850"/>
      <c r="H85" s="850"/>
      <c r="I85" s="850"/>
      <c r="J85" s="850"/>
      <c r="K85" s="67">
        <v>43231500</v>
      </c>
      <c r="L85" s="58" t="s">
        <v>151</v>
      </c>
      <c r="M85" s="59">
        <v>44635</v>
      </c>
      <c r="N85" s="59" t="s">
        <v>256</v>
      </c>
      <c r="O85" s="60" t="s">
        <v>257</v>
      </c>
      <c r="P85" s="60" t="s">
        <v>210</v>
      </c>
      <c r="Q85" s="61">
        <v>26250000</v>
      </c>
      <c r="R85" s="62"/>
      <c r="S85" s="63"/>
      <c r="T85" s="64" t="s">
        <v>156</v>
      </c>
    </row>
    <row r="86" spans="2:20" ht="45" outlineLevel="1" x14ac:dyDescent="0.2">
      <c r="B86" s="855"/>
      <c r="C86" s="850"/>
      <c r="D86" s="850"/>
      <c r="E86" s="850"/>
      <c r="F86" s="850"/>
      <c r="G86" s="850"/>
      <c r="H86" s="850"/>
      <c r="I86" s="850"/>
      <c r="J86" s="850"/>
      <c r="K86" s="67">
        <v>43231500</v>
      </c>
      <c r="L86" s="58" t="s">
        <v>168</v>
      </c>
      <c r="M86" s="59">
        <v>44656</v>
      </c>
      <c r="N86" s="59" t="s">
        <v>315</v>
      </c>
      <c r="O86" s="60" t="s">
        <v>257</v>
      </c>
      <c r="P86" s="60" t="s">
        <v>426</v>
      </c>
      <c r="Q86" s="61">
        <v>92613339.069999993</v>
      </c>
      <c r="R86" s="62"/>
      <c r="S86" s="63"/>
      <c r="T86" s="64" t="s">
        <v>156</v>
      </c>
    </row>
    <row r="87" spans="2:20" ht="45" outlineLevel="1" x14ac:dyDescent="0.2">
      <c r="B87" s="855"/>
      <c r="C87" s="850"/>
      <c r="D87" s="850"/>
      <c r="E87" s="850"/>
      <c r="F87" s="850"/>
      <c r="G87" s="850"/>
      <c r="H87" s="850"/>
      <c r="I87" s="850"/>
      <c r="J87" s="850"/>
      <c r="K87" s="67">
        <v>43231500</v>
      </c>
      <c r="L87" s="95" t="s">
        <v>353</v>
      </c>
      <c r="M87" s="59">
        <v>44656</v>
      </c>
      <c r="N87" s="59" t="s">
        <v>315</v>
      </c>
      <c r="O87" s="60" t="s">
        <v>371</v>
      </c>
      <c r="P87" s="60" t="s">
        <v>426</v>
      </c>
      <c r="Q87" s="61">
        <v>20843980</v>
      </c>
      <c r="R87" s="62"/>
      <c r="S87" s="63"/>
      <c r="T87" s="64" t="s">
        <v>156</v>
      </c>
    </row>
    <row r="88" spans="2:20" ht="45" outlineLevel="1" x14ac:dyDescent="0.2">
      <c r="B88" s="855"/>
      <c r="C88" s="850"/>
      <c r="D88" s="850"/>
      <c r="E88" s="850"/>
      <c r="F88" s="850"/>
      <c r="G88" s="850"/>
      <c r="H88" s="850"/>
      <c r="I88" s="850"/>
      <c r="J88" s="850"/>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52"/>
      <c r="C91" s="848"/>
      <c r="D91" s="848"/>
      <c r="E91" s="848"/>
      <c r="F91" s="848"/>
      <c r="G91" s="848"/>
      <c r="H91" s="848"/>
      <c r="I91" s="848"/>
      <c r="J91" s="848"/>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52"/>
      <c r="C97" s="848"/>
      <c r="D97" s="848"/>
      <c r="E97" s="848"/>
      <c r="F97" s="848"/>
      <c r="G97" s="848"/>
      <c r="H97" s="848"/>
      <c r="I97" s="848"/>
      <c r="J97" s="848"/>
      <c r="K97" s="57" t="s">
        <v>235</v>
      </c>
      <c r="L97" s="58" t="s">
        <v>172</v>
      </c>
      <c r="M97" s="59">
        <v>44582</v>
      </c>
      <c r="N97" s="59" t="s">
        <v>259</v>
      </c>
      <c r="O97" s="60" t="s">
        <v>234</v>
      </c>
      <c r="P97" s="60" t="s">
        <v>463</v>
      </c>
      <c r="Q97" s="61">
        <v>38000000</v>
      </c>
      <c r="R97" s="62"/>
      <c r="S97" s="63"/>
      <c r="T97" s="64" t="s">
        <v>274</v>
      </c>
    </row>
    <row r="98" spans="2:20" ht="60" outlineLevel="1" x14ac:dyDescent="0.2">
      <c r="B98" s="855"/>
      <c r="C98" s="850"/>
      <c r="D98" s="850"/>
      <c r="E98" s="850"/>
      <c r="F98" s="850"/>
      <c r="G98" s="850"/>
      <c r="H98" s="850"/>
      <c r="I98" s="850"/>
      <c r="J98" s="850"/>
      <c r="K98" s="57" t="s">
        <v>235</v>
      </c>
      <c r="L98" s="58" t="s">
        <v>173</v>
      </c>
      <c r="M98" s="59">
        <v>44582</v>
      </c>
      <c r="N98" s="59" t="s">
        <v>259</v>
      </c>
      <c r="O98" s="60" t="s">
        <v>234</v>
      </c>
      <c r="P98" s="60" t="s">
        <v>210</v>
      </c>
      <c r="Q98" s="61">
        <v>5500000</v>
      </c>
      <c r="R98" s="62"/>
      <c r="S98" s="63"/>
      <c r="T98" s="64" t="s">
        <v>274</v>
      </c>
    </row>
    <row r="99" spans="2:20" outlineLevel="1" x14ac:dyDescent="0.2">
      <c r="B99" s="855"/>
      <c r="C99" s="850"/>
      <c r="D99" s="850"/>
      <c r="E99" s="850"/>
      <c r="F99" s="850"/>
      <c r="G99" s="850"/>
      <c r="H99" s="850"/>
      <c r="I99" s="850"/>
      <c r="J99" s="850"/>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52"/>
      <c r="C101" s="848"/>
      <c r="D101" s="848"/>
      <c r="E101" s="848"/>
      <c r="F101" s="848"/>
      <c r="G101" s="848"/>
      <c r="H101" s="848"/>
      <c r="I101" s="848"/>
      <c r="J101" s="848"/>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55"/>
      <c r="C102" s="850"/>
      <c r="D102" s="850"/>
      <c r="E102" s="850"/>
      <c r="F102" s="850"/>
      <c r="G102" s="850"/>
      <c r="H102" s="850"/>
      <c r="I102" s="850"/>
      <c r="J102" s="850"/>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52"/>
      <c r="C105" s="848"/>
      <c r="D105" s="848"/>
      <c r="E105" s="848"/>
      <c r="F105" s="848"/>
      <c r="G105" s="848"/>
      <c r="H105" s="848"/>
      <c r="I105" s="848"/>
      <c r="J105" s="848"/>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55"/>
      <c r="C106" s="850"/>
      <c r="D106" s="850"/>
      <c r="E106" s="850"/>
      <c r="F106" s="850"/>
      <c r="G106" s="850"/>
      <c r="H106" s="850"/>
      <c r="I106" s="850"/>
      <c r="J106" s="850"/>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52"/>
      <c r="C112" s="848"/>
      <c r="D112" s="848"/>
      <c r="E112" s="848"/>
      <c r="F112" s="848"/>
      <c r="G112" s="848"/>
      <c r="H112" s="848"/>
      <c r="I112" s="848"/>
      <c r="J112" s="848"/>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52"/>
      <c r="C114" s="848"/>
      <c r="D114" s="848"/>
      <c r="E114" s="848"/>
      <c r="F114" s="848"/>
      <c r="G114" s="848"/>
      <c r="H114" s="848"/>
      <c r="I114" s="848"/>
      <c r="J114" s="848"/>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52"/>
      <c r="C118" s="848"/>
      <c r="D118" s="848"/>
      <c r="E118" s="848"/>
      <c r="F118" s="848"/>
      <c r="G118" s="848"/>
      <c r="H118" s="848"/>
      <c r="I118" s="848"/>
      <c r="J118" s="849"/>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55"/>
      <c r="C119" s="850"/>
      <c r="D119" s="850"/>
      <c r="E119" s="850"/>
      <c r="F119" s="850"/>
      <c r="G119" s="850"/>
      <c r="H119" s="850"/>
      <c r="I119" s="850"/>
      <c r="J119" s="851"/>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52"/>
      <c r="C123" s="848"/>
      <c r="D123" s="848"/>
      <c r="E123" s="848"/>
      <c r="F123" s="848"/>
      <c r="G123" s="848"/>
      <c r="H123" s="848"/>
      <c r="I123" s="848"/>
      <c r="J123" s="848"/>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55"/>
      <c r="C124" s="850"/>
      <c r="D124" s="850"/>
      <c r="E124" s="850"/>
      <c r="F124" s="850"/>
      <c r="G124" s="850"/>
      <c r="H124" s="850"/>
      <c r="I124" s="850"/>
      <c r="J124" s="850"/>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55"/>
      <c r="C125" s="850"/>
      <c r="D125" s="850"/>
      <c r="E125" s="850"/>
      <c r="F125" s="850"/>
      <c r="G125" s="850"/>
      <c r="H125" s="850"/>
      <c r="I125" s="850"/>
      <c r="J125" s="850"/>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55"/>
      <c r="C126" s="850"/>
      <c r="D126" s="850"/>
      <c r="E126" s="850"/>
      <c r="F126" s="850"/>
      <c r="G126" s="850"/>
      <c r="H126" s="850"/>
      <c r="I126" s="850"/>
      <c r="J126" s="850"/>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55"/>
      <c r="C127" s="850"/>
      <c r="D127" s="850"/>
      <c r="E127" s="850"/>
      <c r="F127" s="850"/>
      <c r="G127" s="850"/>
      <c r="H127" s="850"/>
      <c r="I127" s="850"/>
      <c r="J127" s="850"/>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55"/>
      <c r="C128" s="850"/>
      <c r="D128" s="850"/>
      <c r="E128" s="850"/>
      <c r="F128" s="850"/>
      <c r="G128" s="850"/>
      <c r="H128" s="850"/>
      <c r="I128" s="850"/>
      <c r="J128" s="850"/>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52"/>
      <c r="C134" s="848"/>
      <c r="D134" s="848"/>
      <c r="E134" s="848"/>
      <c r="F134" s="848"/>
      <c r="G134" s="848"/>
      <c r="H134" s="848"/>
      <c r="I134" s="848"/>
      <c r="J134" s="848"/>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55"/>
      <c r="C136" s="850"/>
      <c r="D136" s="850"/>
      <c r="E136" s="850"/>
      <c r="F136" s="850"/>
      <c r="G136" s="850"/>
      <c r="H136" s="850"/>
      <c r="I136" s="850"/>
      <c r="J136" s="850"/>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55"/>
      <c r="C137" s="850"/>
      <c r="D137" s="850"/>
      <c r="E137" s="850"/>
      <c r="F137" s="850"/>
      <c r="G137" s="850"/>
      <c r="H137" s="850"/>
      <c r="I137" s="850"/>
      <c r="J137" s="850"/>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55"/>
      <c r="C138" s="850"/>
      <c r="D138" s="850"/>
      <c r="E138" s="850"/>
      <c r="F138" s="850"/>
      <c r="G138" s="850"/>
      <c r="H138" s="850"/>
      <c r="I138" s="850"/>
      <c r="J138" s="850"/>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55"/>
      <c r="C139" s="850"/>
      <c r="D139" s="850"/>
      <c r="E139" s="850"/>
      <c r="F139" s="850"/>
      <c r="G139" s="850"/>
      <c r="H139" s="850"/>
      <c r="I139" s="850"/>
      <c r="J139" s="850"/>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55"/>
      <c r="C140" s="850"/>
      <c r="D140" s="850"/>
      <c r="E140" s="850"/>
      <c r="F140" s="850"/>
      <c r="G140" s="850"/>
      <c r="H140" s="850"/>
      <c r="I140" s="850"/>
      <c r="J140" s="850"/>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55"/>
      <c r="C141" s="850"/>
      <c r="D141" s="850"/>
      <c r="E141" s="850"/>
      <c r="F141" s="850"/>
      <c r="G141" s="850"/>
      <c r="H141" s="850"/>
      <c r="I141" s="850"/>
      <c r="J141" s="850"/>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55"/>
      <c r="C142" s="850"/>
      <c r="D142" s="850"/>
      <c r="E142" s="850"/>
      <c r="F142" s="850"/>
      <c r="G142" s="850"/>
      <c r="H142" s="850"/>
      <c r="I142" s="850"/>
      <c r="J142" s="850"/>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55"/>
      <c r="C143" s="850"/>
      <c r="D143" s="850"/>
      <c r="E143" s="850"/>
      <c r="F143" s="850"/>
      <c r="G143" s="850"/>
      <c r="H143" s="850"/>
      <c r="I143" s="850"/>
      <c r="J143" s="850"/>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55"/>
      <c r="C144" s="850"/>
      <c r="D144" s="850"/>
      <c r="E144" s="850"/>
      <c r="F144" s="850"/>
      <c r="G144" s="850"/>
      <c r="H144" s="850"/>
      <c r="I144" s="850"/>
      <c r="J144" s="850"/>
      <c r="K144" s="67">
        <v>80111600</v>
      </c>
      <c r="L144" s="100" t="s">
        <v>496</v>
      </c>
      <c r="M144" s="59" t="s">
        <v>497</v>
      </c>
      <c r="N144" s="59" t="s">
        <v>372</v>
      </c>
      <c r="O144" s="60" t="s">
        <v>371</v>
      </c>
      <c r="P144" s="60" t="s">
        <v>221</v>
      </c>
      <c r="Q144" s="61">
        <v>6300000</v>
      </c>
      <c r="R144" s="62"/>
      <c r="S144" s="72"/>
      <c r="T144" s="64"/>
    </row>
    <row r="145" spans="2:20" ht="60" outlineLevel="1" x14ac:dyDescent="0.2">
      <c r="B145" s="855"/>
      <c r="C145" s="850"/>
      <c r="D145" s="850"/>
      <c r="E145" s="850"/>
      <c r="F145" s="850"/>
      <c r="G145" s="850"/>
      <c r="H145" s="850"/>
      <c r="I145" s="850"/>
      <c r="J145" s="850"/>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52"/>
      <c r="C148" s="848"/>
      <c r="D148" s="848"/>
      <c r="E148" s="848"/>
      <c r="F148" s="848"/>
      <c r="G148" s="848"/>
      <c r="H148" s="848"/>
      <c r="I148" s="848"/>
      <c r="J148" s="848"/>
      <c r="K148" s="67"/>
      <c r="L148" s="58" t="s">
        <v>182</v>
      </c>
      <c r="M148" s="59">
        <v>44563</v>
      </c>
      <c r="N148" s="59" t="s">
        <v>261</v>
      </c>
      <c r="O148" s="60" t="s">
        <v>202</v>
      </c>
      <c r="P148" s="60" t="s">
        <v>231</v>
      </c>
      <c r="Q148" s="61">
        <v>22000000</v>
      </c>
      <c r="R148" s="62"/>
      <c r="S148" s="97"/>
      <c r="T148" s="64" t="s">
        <v>188</v>
      </c>
    </row>
    <row r="149" spans="2:20" ht="30" outlineLevel="1" x14ac:dyDescent="0.2">
      <c r="B149" s="855"/>
      <c r="C149" s="850"/>
      <c r="D149" s="850"/>
      <c r="E149" s="850"/>
      <c r="F149" s="850"/>
      <c r="G149" s="850"/>
      <c r="H149" s="850"/>
      <c r="I149" s="850"/>
      <c r="J149" s="850"/>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55"/>
      <c r="C150" s="850"/>
      <c r="D150" s="850"/>
      <c r="E150" s="850"/>
      <c r="F150" s="850"/>
      <c r="G150" s="850"/>
      <c r="H150" s="850"/>
      <c r="I150" s="850"/>
      <c r="J150" s="850"/>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52"/>
      <c r="C152" s="848"/>
      <c r="D152" s="848"/>
      <c r="E152" s="848"/>
      <c r="F152" s="848"/>
      <c r="G152" s="848"/>
      <c r="H152" s="848"/>
      <c r="I152" s="848"/>
      <c r="J152" s="848"/>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55"/>
      <c r="C153" s="850"/>
      <c r="D153" s="850"/>
      <c r="E153" s="850"/>
      <c r="F153" s="850"/>
      <c r="G153" s="850"/>
      <c r="H153" s="850"/>
      <c r="I153" s="850"/>
      <c r="J153" s="850"/>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52"/>
      <c r="C157" s="848"/>
      <c r="D157" s="848"/>
      <c r="E157" s="848"/>
      <c r="F157" s="848"/>
      <c r="G157" s="848"/>
      <c r="H157" s="848"/>
      <c r="I157" s="848"/>
      <c r="J157" s="848"/>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52"/>
      <c r="C159" s="848"/>
      <c r="D159" s="848"/>
      <c r="E159" s="848"/>
      <c r="F159" s="848"/>
      <c r="G159" s="848"/>
      <c r="H159" s="848"/>
      <c r="I159" s="848"/>
      <c r="J159" s="848"/>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55"/>
      <c r="C160" s="850"/>
      <c r="D160" s="850"/>
      <c r="E160" s="850"/>
      <c r="F160" s="850"/>
      <c r="G160" s="850"/>
      <c r="H160" s="850"/>
      <c r="I160" s="850"/>
      <c r="J160" s="850"/>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55"/>
      <c r="C161" s="850"/>
      <c r="D161" s="850"/>
      <c r="E161" s="850"/>
      <c r="F161" s="850"/>
      <c r="G161" s="850"/>
      <c r="H161" s="850"/>
      <c r="I161" s="850"/>
      <c r="J161" s="850"/>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55"/>
      <c r="C162" s="850"/>
      <c r="D162" s="850"/>
      <c r="E162" s="850"/>
      <c r="F162" s="850"/>
      <c r="G162" s="850"/>
      <c r="H162" s="850"/>
      <c r="I162" s="850"/>
      <c r="J162" s="850"/>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52"/>
      <c r="C164" s="848"/>
      <c r="D164" s="848"/>
      <c r="E164" s="848"/>
      <c r="F164" s="848"/>
      <c r="G164" s="848"/>
      <c r="H164" s="848"/>
      <c r="I164" s="848"/>
      <c r="J164" s="848"/>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55"/>
      <c r="C169" s="850"/>
      <c r="D169" s="850"/>
      <c r="E169" s="850"/>
      <c r="F169" s="850"/>
      <c r="G169" s="850"/>
      <c r="H169" s="850"/>
      <c r="I169" s="850"/>
      <c r="J169" s="850"/>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52"/>
      <c r="C173" s="848"/>
      <c r="D173" s="848"/>
      <c r="E173" s="848"/>
      <c r="F173" s="848"/>
      <c r="G173" s="848"/>
      <c r="H173" s="848"/>
      <c r="I173" s="848"/>
      <c r="J173" s="848"/>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55"/>
      <c r="C174" s="850"/>
      <c r="D174" s="850"/>
      <c r="E174" s="850"/>
      <c r="F174" s="850"/>
      <c r="G174" s="850"/>
      <c r="H174" s="850"/>
      <c r="I174" s="850"/>
      <c r="J174" s="850"/>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52"/>
      <c r="C177" s="848"/>
      <c r="D177" s="848"/>
      <c r="E177" s="848"/>
      <c r="F177" s="848"/>
      <c r="G177" s="848"/>
      <c r="H177" s="848"/>
      <c r="I177" s="848"/>
      <c r="J177" s="849"/>
      <c r="K177" s="57" t="s">
        <v>317</v>
      </c>
      <c r="L177" s="58" t="s">
        <v>318</v>
      </c>
      <c r="M177" s="59">
        <v>44576</v>
      </c>
      <c r="N177" s="59" t="s">
        <v>259</v>
      </c>
      <c r="O177" s="60" t="s">
        <v>319</v>
      </c>
      <c r="P177" s="60" t="s">
        <v>222</v>
      </c>
      <c r="Q177" s="61">
        <v>0</v>
      </c>
      <c r="R177" s="62"/>
      <c r="S177" s="63"/>
      <c r="T177" s="64" t="s">
        <v>163</v>
      </c>
    </row>
    <row r="178" spans="2:20" ht="180" outlineLevel="1" x14ac:dyDescent="0.2">
      <c r="B178" s="859"/>
      <c r="C178" s="860"/>
      <c r="D178" s="860"/>
      <c r="E178" s="860"/>
      <c r="F178" s="860"/>
      <c r="G178" s="860"/>
      <c r="H178" s="860"/>
      <c r="I178" s="860"/>
      <c r="J178" s="861"/>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52"/>
      <c r="C181" s="848"/>
      <c r="D181" s="848"/>
      <c r="E181" s="848"/>
      <c r="F181" s="848"/>
      <c r="G181" s="848"/>
      <c r="H181" s="848"/>
      <c r="I181" s="848"/>
      <c r="J181" s="848"/>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52"/>
      <c r="C185" s="848"/>
      <c r="D185" s="848"/>
      <c r="E185" s="848"/>
      <c r="F185" s="848"/>
      <c r="G185" s="848"/>
      <c r="H185" s="848"/>
      <c r="I185" s="848"/>
      <c r="J185" s="848"/>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53"/>
      <c r="C187" s="854"/>
      <c r="D187" s="854"/>
      <c r="E187" s="854"/>
      <c r="F187" s="854"/>
      <c r="G187" s="854"/>
      <c r="H187" s="854"/>
      <c r="I187" s="854"/>
      <c r="J187" s="854"/>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52"/>
      <c r="C194" s="848"/>
      <c r="D194" s="848"/>
      <c r="E194" s="848"/>
      <c r="F194" s="848"/>
      <c r="G194" s="848"/>
      <c r="H194" s="848"/>
      <c r="I194" s="848"/>
      <c r="J194" s="848"/>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53"/>
      <c r="C198" s="854"/>
      <c r="D198" s="854"/>
      <c r="E198" s="854"/>
      <c r="F198" s="854"/>
      <c r="G198" s="854"/>
      <c r="H198" s="854"/>
      <c r="I198" s="854"/>
      <c r="J198" s="856"/>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53"/>
      <c r="C207" s="854"/>
      <c r="D207" s="854"/>
      <c r="E207" s="854"/>
      <c r="F207" s="854"/>
      <c r="G207" s="854"/>
      <c r="H207" s="854"/>
      <c r="I207" s="854"/>
      <c r="J207" s="856"/>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53"/>
      <c r="C213" s="854"/>
      <c r="D213" s="854"/>
      <c r="E213" s="854"/>
      <c r="F213" s="854"/>
      <c r="G213" s="854"/>
      <c r="H213" s="854"/>
      <c r="I213" s="854"/>
      <c r="J213" s="856"/>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52"/>
      <c r="C218" s="848"/>
      <c r="D218" s="848"/>
      <c r="E218" s="848"/>
      <c r="F218" s="848"/>
      <c r="G218" s="848"/>
      <c r="H218" s="848"/>
      <c r="I218" s="848"/>
      <c r="J218" s="848"/>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55"/>
      <c r="C219" s="850"/>
      <c r="D219" s="850"/>
      <c r="E219" s="850"/>
      <c r="F219" s="850"/>
      <c r="G219" s="850"/>
      <c r="H219" s="850"/>
      <c r="I219" s="850"/>
      <c r="J219" s="850"/>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55"/>
      <c r="C220" s="850"/>
      <c r="D220" s="850"/>
      <c r="E220" s="850"/>
      <c r="F220" s="850"/>
      <c r="G220" s="850"/>
      <c r="H220" s="850"/>
      <c r="I220" s="850"/>
      <c r="J220" s="850"/>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55"/>
      <c r="C221" s="850"/>
      <c r="D221" s="850"/>
      <c r="E221" s="850"/>
      <c r="F221" s="850"/>
      <c r="G221" s="850"/>
      <c r="H221" s="850"/>
      <c r="I221" s="850"/>
      <c r="J221" s="850"/>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55"/>
      <c r="C222" s="850"/>
      <c r="D222" s="850"/>
      <c r="E222" s="850"/>
      <c r="F222" s="850"/>
      <c r="G222" s="850"/>
      <c r="H222" s="850"/>
      <c r="I222" s="850"/>
      <c r="J222" s="850"/>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55"/>
      <c r="C223" s="850"/>
      <c r="D223" s="850"/>
      <c r="E223" s="850"/>
      <c r="F223" s="850"/>
      <c r="G223" s="850"/>
      <c r="H223" s="850"/>
      <c r="I223" s="850"/>
      <c r="J223" s="850"/>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55"/>
      <c r="C224" s="850"/>
      <c r="D224" s="850"/>
      <c r="E224" s="850"/>
      <c r="F224" s="850"/>
      <c r="G224" s="850"/>
      <c r="H224" s="850"/>
      <c r="I224" s="850"/>
      <c r="J224" s="850"/>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55"/>
      <c r="C225" s="850"/>
      <c r="D225" s="850"/>
      <c r="E225" s="850"/>
      <c r="F225" s="850"/>
      <c r="G225" s="850"/>
      <c r="H225" s="850"/>
      <c r="I225" s="850"/>
      <c r="J225" s="850"/>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55"/>
      <c r="C226" s="850"/>
      <c r="D226" s="850"/>
      <c r="E226" s="850"/>
      <c r="F226" s="850"/>
      <c r="G226" s="850"/>
      <c r="H226" s="850"/>
      <c r="I226" s="850"/>
      <c r="J226" s="850"/>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55"/>
      <c r="C227" s="850"/>
      <c r="D227" s="850"/>
      <c r="E227" s="850"/>
      <c r="F227" s="850"/>
      <c r="G227" s="850"/>
      <c r="H227" s="850"/>
      <c r="I227" s="850"/>
      <c r="J227" s="850"/>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55"/>
      <c r="C228" s="850"/>
      <c r="D228" s="850"/>
      <c r="E228" s="850"/>
      <c r="F228" s="850"/>
      <c r="G228" s="850"/>
      <c r="H228" s="850"/>
      <c r="I228" s="850"/>
      <c r="J228" s="850"/>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55"/>
      <c r="C229" s="850"/>
      <c r="D229" s="850"/>
      <c r="E229" s="850"/>
      <c r="F229" s="850"/>
      <c r="G229" s="850"/>
      <c r="H229" s="850"/>
      <c r="I229" s="850"/>
      <c r="J229" s="850"/>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55"/>
      <c r="C230" s="850"/>
      <c r="D230" s="850"/>
      <c r="E230" s="850"/>
      <c r="F230" s="850"/>
      <c r="G230" s="850"/>
      <c r="H230" s="850"/>
      <c r="I230" s="850"/>
      <c r="J230" s="850"/>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55"/>
      <c r="C231" s="850"/>
      <c r="D231" s="850"/>
      <c r="E231" s="850"/>
      <c r="F231" s="850"/>
      <c r="G231" s="850"/>
      <c r="H231" s="850"/>
      <c r="I231" s="850"/>
      <c r="J231" s="850"/>
      <c r="K231" s="57">
        <v>72154100</v>
      </c>
      <c r="L231" s="58" t="s">
        <v>247</v>
      </c>
      <c r="M231" s="59">
        <v>44757</v>
      </c>
      <c r="N231" s="59" t="s">
        <v>485</v>
      </c>
      <c r="O231" s="59" t="s">
        <v>217</v>
      </c>
      <c r="P231" s="60" t="s">
        <v>333</v>
      </c>
      <c r="Q231" s="61">
        <v>115983360</v>
      </c>
      <c r="R231" s="62"/>
      <c r="S231" s="61"/>
      <c r="T231" s="64"/>
    </row>
    <row r="232" spans="2:20" ht="45" outlineLevel="1" x14ac:dyDescent="0.2">
      <c r="B232" s="855"/>
      <c r="C232" s="850"/>
      <c r="D232" s="850"/>
      <c r="E232" s="850"/>
      <c r="F232" s="850"/>
      <c r="G232" s="850"/>
      <c r="H232" s="850"/>
      <c r="I232" s="850"/>
      <c r="J232" s="850"/>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55"/>
      <c r="C234" s="850"/>
      <c r="D234" s="850"/>
      <c r="E234" s="850"/>
      <c r="F234" s="850"/>
      <c r="G234" s="850"/>
      <c r="H234" s="850"/>
      <c r="I234" s="850"/>
      <c r="J234" s="850"/>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55"/>
      <c r="C235" s="850"/>
      <c r="D235" s="850"/>
      <c r="E235" s="850"/>
      <c r="F235" s="850"/>
      <c r="G235" s="850"/>
      <c r="H235" s="850"/>
      <c r="I235" s="850"/>
      <c r="J235" s="850"/>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52"/>
      <c r="C237" s="848"/>
      <c r="D237" s="848"/>
      <c r="E237" s="848"/>
      <c r="F237" s="848"/>
      <c r="G237" s="848"/>
      <c r="H237" s="848"/>
      <c r="I237" s="848"/>
      <c r="J237" s="848"/>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55"/>
      <c r="C238" s="850"/>
      <c r="D238" s="850"/>
      <c r="E238" s="850"/>
      <c r="F238" s="850"/>
      <c r="G238" s="850"/>
      <c r="H238" s="850"/>
      <c r="I238" s="850"/>
      <c r="J238" s="850"/>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55"/>
      <c r="C239" s="850"/>
      <c r="D239" s="850"/>
      <c r="E239" s="850"/>
      <c r="F239" s="850"/>
      <c r="G239" s="850"/>
      <c r="H239" s="850"/>
      <c r="I239" s="850"/>
      <c r="J239" s="850"/>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52"/>
      <c r="C253" s="848"/>
      <c r="D253" s="848"/>
      <c r="E253" s="848"/>
      <c r="F253" s="848"/>
      <c r="G253" s="848"/>
      <c r="H253" s="848"/>
      <c r="I253" s="848"/>
      <c r="J253" s="848"/>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52"/>
      <c r="C258" s="848"/>
      <c r="D258" s="848"/>
      <c r="E258" s="848"/>
      <c r="F258" s="848"/>
      <c r="G258" s="848"/>
      <c r="H258" s="848"/>
      <c r="I258" s="848"/>
      <c r="J258" s="848"/>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52"/>
      <c r="C262" s="848"/>
      <c r="D262" s="848"/>
      <c r="E262" s="848"/>
      <c r="F262" s="848"/>
      <c r="G262" s="848"/>
      <c r="H262" s="848"/>
      <c r="I262" s="848"/>
      <c r="J262" s="848"/>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55"/>
      <c r="C269" s="850"/>
      <c r="D269" s="850"/>
      <c r="E269" s="850"/>
      <c r="F269" s="850"/>
      <c r="G269" s="850"/>
      <c r="H269" s="850"/>
      <c r="I269" s="850"/>
      <c r="J269" s="850"/>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57"/>
      <c r="C274" s="858"/>
      <c r="D274" s="858"/>
      <c r="E274" s="858"/>
      <c r="F274" s="858"/>
      <c r="G274" s="858"/>
      <c r="H274" s="858"/>
      <c r="I274" s="858"/>
      <c r="J274" s="858"/>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57"/>
      <c r="C276" s="858"/>
      <c r="D276" s="858"/>
      <c r="E276" s="858"/>
      <c r="F276" s="858"/>
      <c r="G276" s="858"/>
      <c r="H276" s="858"/>
      <c r="I276" s="858"/>
      <c r="J276" s="858"/>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52"/>
      <c r="C281" s="848"/>
      <c r="D281" s="848"/>
      <c r="E281" s="848"/>
      <c r="F281" s="848"/>
      <c r="G281" s="848"/>
      <c r="H281" s="848"/>
      <c r="I281" s="848"/>
      <c r="J281" s="848"/>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52"/>
      <c r="C283" s="848"/>
      <c r="D283" s="848"/>
      <c r="E283" s="848"/>
      <c r="F283" s="848"/>
      <c r="G283" s="848"/>
      <c r="H283" s="848"/>
      <c r="I283" s="848"/>
      <c r="J283" s="848"/>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52"/>
      <c r="C285" s="848"/>
      <c r="D285" s="848"/>
      <c r="E285" s="848"/>
      <c r="F285" s="848"/>
      <c r="G285" s="848"/>
      <c r="H285" s="848"/>
      <c r="I285" s="848"/>
      <c r="J285" s="848"/>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55"/>
      <c r="C296" s="850"/>
      <c r="D296" s="850"/>
      <c r="E296" s="850"/>
      <c r="F296" s="850"/>
      <c r="G296" s="850"/>
      <c r="H296" s="850"/>
      <c r="I296" s="850"/>
      <c r="J296" s="850"/>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55"/>
      <c r="C297" s="850"/>
      <c r="D297" s="850"/>
      <c r="E297" s="850"/>
      <c r="F297" s="850"/>
      <c r="G297" s="850"/>
      <c r="H297" s="850"/>
      <c r="I297" s="850"/>
      <c r="J297" s="850"/>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55"/>
      <c r="C298" s="850"/>
      <c r="D298" s="850"/>
      <c r="E298" s="850"/>
      <c r="F298" s="850"/>
      <c r="G298" s="850"/>
      <c r="H298" s="850"/>
      <c r="I298" s="850"/>
      <c r="J298" s="850"/>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55"/>
      <c r="C299" s="850"/>
      <c r="D299" s="850"/>
      <c r="E299" s="850"/>
      <c r="F299" s="850"/>
      <c r="G299" s="850"/>
      <c r="H299" s="850"/>
      <c r="I299" s="850"/>
      <c r="J299" s="850"/>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55"/>
      <c r="C300" s="850"/>
      <c r="D300" s="850"/>
      <c r="E300" s="850"/>
      <c r="F300" s="850"/>
      <c r="G300" s="850"/>
      <c r="H300" s="850"/>
      <c r="I300" s="850"/>
      <c r="J300" s="850"/>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55"/>
      <c r="C301" s="850"/>
      <c r="D301" s="850"/>
      <c r="E301" s="850"/>
      <c r="F301" s="850"/>
      <c r="G301" s="850"/>
      <c r="H301" s="850"/>
      <c r="I301" s="850"/>
      <c r="J301" s="850"/>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55"/>
      <c r="C302" s="850"/>
      <c r="D302" s="850"/>
      <c r="E302" s="850"/>
      <c r="F302" s="850"/>
      <c r="G302" s="850"/>
      <c r="H302" s="850"/>
      <c r="I302" s="850"/>
      <c r="J302" s="850"/>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55"/>
      <c r="C303" s="850"/>
      <c r="D303" s="850"/>
      <c r="E303" s="850"/>
      <c r="F303" s="850"/>
      <c r="G303" s="850"/>
      <c r="H303" s="850"/>
      <c r="I303" s="850"/>
      <c r="J303" s="850"/>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55"/>
      <c r="C304" s="850"/>
      <c r="D304" s="850"/>
      <c r="E304" s="850"/>
      <c r="F304" s="850"/>
      <c r="G304" s="850"/>
      <c r="H304" s="850"/>
      <c r="I304" s="850"/>
      <c r="J304" s="850"/>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55"/>
      <c r="C305" s="850"/>
      <c r="D305" s="850"/>
      <c r="E305" s="850"/>
      <c r="F305" s="850"/>
      <c r="G305" s="850"/>
      <c r="H305" s="850"/>
      <c r="I305" s="850"/>
      <c r="J305" s="850"/>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55"/>
      <c r="C306" s="850"/>
      <c r="D306" s="850"/>
      <c r="E306" s="850"/>
      <c r="F306" s="850"/>
      <c r="G306" s="850"/>
      <c r="H306" s="850"/>
      <c r="I306" s="850"/>
      <c r="J306" s="850"/>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55"/>
      <c r="C307" s="850"/>
      <c r="D307" s="850"/>
      <c r="E307" s="850"/>
      <c r="F307" s="850"/>
      <c r="G307" s="850"/>
      <c r="H307" s="850"/>
      <c r="I307" s="850"/>
      <c r="J307" s="850"/>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55"/>
      <c r="C308" s="850"/>
      <c r="D308" s="850"/>
      <c r="E308" s="850"/>
      <c r="F308" s="850"/>
      <c r="G308" s="850"/>
      <c r="H308" s="850"/>
      <c r="I308" s="850"/>
      <c r="J308" s="850"/>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55"/>
      <c r="C309" s="850"/>
      <c r="D309" s="850"/>
      <c r="E309" s="850"/>
      <c r="F309" s="850"/>
      <c r="G309" s="850"/>
      <c r="H309" s="850"/>
      <c r="I309" s="850"/>
      <c r="J309" s="850"/>
      <c r="K309" s="57">
        <v>81101500</v>
      </c>
      <c r="L309" s="58" t="s">
        <v>514</v>
      </c>
      <c r="M309" s="59"/>
      <c r="N309" s="59"/>
      <c r="O309" s="60" t="s">
        <v>515</v>
      </c>
      <c r="P309" s="60" t="s">
        <v>516</v>
      </c>
      <c r="Q309" s="61">
        <v>49087500</v>
      </c>
      <c r="R309" s="62"/>
      <c r="S309" s="72"/>
      <c r="T309" s="58"/>
    </row>
    <row r="310" spans="2:20" ht="30" outlineLevel="1" x14ac:dyDescent="0.2">
      <c r="B310" s="855"/>
      <c r="C310" s="850"/>
      <c r="D310" s="850"/>
      <c r="E310" s="850"/>
      <c r="F310" s="850"/>
      <c r="G310" s="850"/>
      <c r="H310" s="850"/>
      <c r="I310" s="850"/>
      <c r="J310" s="850"/>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55"/>
      <c r="C311" s="850"/>
      <c r="D311" s="850"/>
      <c r="E311" s="850"/>
      <c r="F311" s="850"/>
      <c r="G311" s="850"/>
      <c r="H311" s="850"/>
      <c r="I311" s="850"/>
      <c r="J311" s="850"/>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55"/>
      <c r="C312" s="850"/>
      <c r="D312" s="850"/>
      <c r="E312" s="850"/>
      <c r="F312" s="850"/>
      <c r="G312" s="850"/>
      <c r="H312" s="850"/>
      <c r="I312" s="850"/>
      <c r="J312" s="850"/>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48"/>
      <c r="C318" s="848"/>
      <c r="D318" s="848"/>
      <c r="E318" s="848"/>
      <c r="F318" s="848"/>
      <c r="G318" s="848"/>
      <c r="H318" s="848"/>
      <c r="I318" s="848"/>
      <c r="J318" s="849"/>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50"/>
      <c r="C319" s="850"/>
      <c r="D319" s="850"/>
      <c r="E319" s="850"/>
      <c r="F319" s="850"/>
      <c r="G319" s="850"/>
      <c r="H319" s="850"/>
      <c r="I319" s="850"/>
      <c r="J319" s="851"/>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50"/>
      <c r="C320" s="850"/>
      <c r="D320" s="850"/>
      <c r="E320" s="850"/>
      <c r="F320" s="850"/>
      <c r="G320" s="850"/>
      <c r="H320" s="850"/>
      <c r="I320" s="850"/>
      <c r="J320" s="851"/>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50"/>
      <c r="C321" s="850"/>
      <c r="D321" s="850"/>
      <c r="E321" s="850"/>
      <c r="F321" s="850"/>
      <c r="G321" s="850"/>
      <c r="H321" s="850"/>
      <c r="I321" s="850"/>
      <c r="J321" s="851"/>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50"/>
      <c r="C322" s="850"/>
      <c r="D322" s="850"/>
      <c r="E322" s="850"/>
      <c r="F322" s="850"/>
      <c r="G322" s="850"/>
      <c r="H322" s="850"/>
      <c r="I322" s="850"/>
      <c r="J322" s="851"/>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50"/>
      <c r="C323" s="850"/>
      <c r="D323" s="850"/>
      <c r="E323" s="850"/>
      <c r="F323" s="850"/>
      <c r="G323" s="850"/>
      <c r="H323" s="850"/>
      <c r="I323" s="850"/>
      <c r="J323" s="851"/>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50"/>
      <c r="C324" s="850"/>
      <c r="D324" s="850"/>
      <c r="E324" s="850"/>
      <c r="F324" s="850"/>
      <c r="G324" s="850"/>
      <c r="H324" s="850"/>
      <c r="I324" s="850"/>
      <c r="J324" s="851"/>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50"/>
      <c r="C325" s="850"/>
      <c r="D325" s="850"/>
      <c r="E325" s="850"/>
      <c r="F325" s="850"/>
      <c r="G325" s="850"/>
      <c r="H325" s="850"/>
      <c r="I325" s="850"/>
      <c r="J325" s="851"/>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50"/>
      <c r="C326" s="850"/>
      <c r="D326" s="850"/>
      <c r="E326" s="850"/>
      <c r="F326" s="850"/>
      <c r="G326" s="850"/>
      <c r="H326" s="850"/>
      <c r="I326" s="850"/>
      <c r="J326" s="851"/>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50"/>
      <c r="C327" s="850"/>
      <c r="D327" s="850"/>
      <c r="E327" s="850"/>
      <c r="F327" s="850"/>
      <c r="G327" s="850"/>
      <c r="H327" s="850"/>
      <c r="I327" s="850"/>
      <c r="J327" s="851"/>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50"/>
      <c r="C328" s="850"/>
      <c r="D328" s="850"/>
      <c r="E328" s="850"/>
      <c r="F328" s="850"/>
      <c r="G328" s="850"/>
      <c r="H328" s="850"/>
      <c r="I328" s="850"/>
      <c r="J328" s="851"/>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50"/>
      <c r="C329" s="850"/>
      <c r="D329" s="850"/>
      <c r="E329" s="850"/>
      <c r="F329" s="850"/>
      <c r="G329" s="850"/>
      <c r="H329" s="850"/>
      <c r="I329" s="850"/>
      <c r="J329" s="851"/>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50"/>
      <c r="C330" s="850"/>
      <c r="D330" s="850"/>
      <c r="E330" s="850"/>
      <c r="F330" s="850"/>
      <c r="G330" s="850"/>
      <c r="H330" s="850"/>
      <c r="I330" s="850"/>
      <c r="J330" s="851"/>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50"/>
      <c r="C331" s="850"/>
      <c r="D331" s="850"/>
      <c r="E331" s="850"/>
      <c r="F331" s="850"/>
      <c r="G331" s="850"/>
      <c r="H331" s="850"/>
      <c r="I331" s="850"/>
      <c r="J331" s="851"/>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50"/>
      <c r="C332" s="850"/>
      <c r="D332" s="850"/>
      <c r="E332" s="850"/>
      <c r="F332" s="850"/>
      <c r="G332" s="850"/>
      <c r="H332" s="850"/>
      <c r="I332" s="850"/>
      <c r="J332" s="851"/>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50"/>
      <c r="C333" s="850"/>
      <c r="D333" s="850"/>
      <c r="E333" s="850"/>
      <c r="F333" s="850"/>
      <c r="G333" s="850"/>
      <c r="H333" s="850"/>
      <c r="I333" s="850"/>
      <c r="J333" s="851"/>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50710" workbookViewId="0">
      <selection activeCell="A50727" sqref="A50727"/>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Miller Orlando Moreno Suarez</cp:lastModifiedBy>
  <cp:lastPrinted>2022-12-21T19:45:13Z</cp:lastPrinted>
  <dcterms:created xsi:type="dcterms:W3CDTF">2019-03-14T16:36:22Z</dcterms:created>
  <dcterms:modified xsi:type="dcterms:W3CDTF">2023-10-03T14:22:12Z</dcterms:modified>
</cp:coreProperties>
</file>